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L19" i="18" l="1"/>
  <c r="F105" i="13"/>
  <c r="B105" i="13"/>
  <c r="Q46" i="18" l="1"/>
  <c r="C2" i="45"/>
  <c r="B2" i="45"/>
  <c r="G2" i="45" s="1"/>
  <c r="D172" i="20"/>
  <c r="D64" i="45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s="1"/>
  <c r="G25" i="45" l="1"/>
  <c r="B24" i="45"/>
  <c r="D2" i="45"/>
  <c r="D24" i="45" s="1"/>
  <c r="H30" i="45"/>
  <c r="I2" i="45"/>
  <c r="I25" i="45" s="1"/>
  <c r="I30" i="45" s="1"/>
  <c r="S12" i="44"/>
  <c r="R12" i="44"/>
  <c r="Q12" i="44"/>
  <c r="S31" i="18" l="1"/>
  <c r="N28" i="18"/>
  <c r="Q33" i="18" s="1"/>
  <c r="S29" i="18"/>
  <c r="H3" i="44" l="1"/>
  <c r="H4" i="44" l="1"/>
  <c r="D6" i="44" s="1"/>
  <c r="C9" i="44" s="1"/>
  <c r="D64" i="43"/>
  <c r="N29" i="18" l="1"/>
  <c r="B263" i="15" l="1"/>
  <c r="E253" i="15"/>
  <c r="E252" i="15"/>
  <c r="E251" i="15" l="1"/>
  <c r="E250" i="15"/>
  <c r="D171" i="20"/>
  <c r="Q60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B196" i="13"/>
  <c r="E19" i="14" l="1"/>
  <c r="E18" i="14" s="1"/>
  <c r="E247" i="15"/>
  <c r="E246" i="15"/>
  <c r="B23" i="33"/>
  <c r="E245" i="15" l="1"/>
  <c r="N18" i="33" l="1"/>
  <c r="B18" i="33" s="1"/>
  <c r="D18" i="33"/>
  <c r="E18" i="33"/>
  <c r="G18" i="33"/>
  <c r="H18" i="33"/>
  <c r="I18" i="33"/>
  <c r="K18" i="33"/>
  <c r="L18" i="33"/>
  <c r="AC15" i="33"/>
  <c r="E244" i="15"/>
  <c r="C18" i="33" l="1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U28" i="18" l="1"/>
  <c r="E242" i="15"/>
  <c r="J50" i="33" l="1"/>
  <c r="J48" i="33"/>
  <c r="J47" i="33"/>
  <c r="L50" i="33" s="1"/>
  <c r="S30" i="18" l="1"/>
  <c r="U30" i="18" s="1"/>
  <c r="U29" i="18"/>
  <c r="E241" i="15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G185" i="13" s="1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E182" i="13" l="1"/>
  <c r="E181" i="13" s="1"/>
  <c r="G192" i="13"/>
  <c r="G183" i="13"/>
  <c r="G182" i="13"/>
  <c r="G189" i="13"/>
  <c r="G184" i="13"/>
  <c r="G191" i="13"/>
  <c r="G188" i="13"/>
  <c r="G195" i="13"/>
  <c r="G187" i="13"/>
  <c r="G190" i="13"/>
  <c r="G194" i="13"/>
  <c r="G186" i="13"/>
  <c r="F247" i="15"/>
  <c r="D246" i="15"/>
  <c r="E180" i="13" l="1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K173" i="20"/>
  <c r="K174" i="20"/>
  <c r="K175" i="20"/>
  <c r="K176" i="20"/>
  <c r="J173" i="20"/>
  <c r="J174" i="20"/>
  <c r="J175" i="20"/>
  <c r="J176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G32" i="10"/>
  <c r="E154" i="13" l="1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G123" i="13"/>
  <c r="D147" i="20"/>
  <c r="E105" i="13" l="1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02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7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G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<sst xmlns="http://schemas.openxmlformats.org/spreadsheetml/2006/main" count="8478" uniqueCount="4034">
  <si>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</si>
  <si>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</si>
  <si>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</si>
  <si>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</si>
  <si>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</si>
  <si>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</si>
  <si>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</si>
  <si>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</si>
  <si>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</si>
  <si>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</si>
  <si>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</si>
  <si>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</si>
  <si>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</si>
  <si>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</si>
  <si>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</si>
  <si>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</si>
  <si>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</si>
  <si>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</si>
  <si>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</si>
  <si>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</si>
  <si>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</si>
  <si>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</si>
  <si>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</si>
  <si>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</si>
  <si>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</si>
  <si>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</si>
  <si>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</si>
  <si>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</si>
  <si>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</si>
  <si>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</si>
  <si>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</si>
  <si>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</si>
  <si>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</si>
  <si>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</si>
  <si>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</si>
  <si>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</si>
  <si>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</si>
  <si>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</si>
  <si>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</si>
  <si>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</si>
  <si>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</si>
  <si>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</si>
  <si>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</si>
  <si>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</si>
  <si>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</si>
  <si>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</si>
  <si>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</si>
  <si>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</si>
  <si>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</si>
  <si>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</si>
  <si>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</si>
  <si>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</si>
  <si>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</si>
  <si>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</si>
  <si>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</si>
  <si>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</si>
  <si>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</si>
  <si>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</si>
  <si>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</si>
  <si>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</si>
  <si>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</si>
  <si>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</si>
  <si>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</si>
  <si>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</si>
  <si>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</si>
  <si>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</si>
  <si>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</si>
  <si>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</si>
  <si>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</si>
  <si>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</si>
  <si>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</si>
  <si>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</si>
  <si>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</si>
  <si>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</si>
  <si>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</si>
  <si>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</si>
  <si>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</si>
  <si>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</si>
  <si>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</si>
  <si>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</si>
  <si>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</si>
  <si>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</si>
  <si>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</si>
  <si>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</si>
  <si>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</si>
  <si>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</si>
  <si>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</si>
  <si>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</si>
  <si>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</si>
  <si>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</si>
  <si>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</si>
  <si>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</si>
  <si>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</si>
  <si>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</si>
  <si>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</si>
  <si>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</si>
  <si>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</si>
  <si>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</si>
  <si>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</si>
  <si>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</si>
  <si>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</si>
  <si>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</si>
  <si>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</si>
  <si>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</si>
  <si>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</si>
  <si>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</si>
  <si>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</si>
  <si>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</si>
  <si>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</si>
  <si>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</si>
  <si>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</si>
  <si>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</si>
  <si>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</si>
  <si>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</si>
  <si>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</si>
  <si>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</si>
  <si>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</si>
  <si>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</si>
  <si>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</si>
  <si>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</si>
  <si>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</si>
  <si>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</si>
  <si>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</si>
  <si>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</si>
  <si>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</si>
  <si>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</si>
  <si>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</si>
  <si>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</si>
  <si>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</si>
  <si>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</si>
  <si>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</si>
  <si>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</si>
  <si>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</si>
  <si>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</si>
  <si>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</si>
  <si>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</si>
  <si>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</si>
  <si>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</si>
  <si>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</si>
  <si>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</si>
  <si>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</si>
  <si>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</si>
  <si>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</si>
  <si>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</si>
  <si>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</si>
  <si>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</si>
  <si>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</si>
  <si>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</si>
  <si>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</si>
  <si>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</si>
  <si>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</si>
  <si>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</si>
  <si>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</si>
  <si>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</si>
  <si>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</si>
  <si>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</si>
  <si>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</si>
  <si>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</si>
  <si>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</si>
  <si>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</si>
  <si>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</si>
  <si>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</si>
  <si>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</si>
  <si>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</si>
  <si>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</si>
  <si>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</si>
  <si>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</si>
  <si>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</si>
  <si>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</si>
  <si>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</si>
  <si>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</si>
  <si>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</si>
  <si>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</si>
  <si>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</si>
  <si>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</si>
  <si>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</si>
  <si>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</si>
  <si>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</si>
  <si>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</si>
  <si>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</si>
  <si>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</si>
  <si>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</si>
  <si>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</si>
  <si>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</si>
  <si>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</si>
  <si>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</si>
  <si>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</si>
  <si>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</si>
  <si>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</si>
  <si>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</si>
  <si>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</si>
  <si>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</si>
  <si>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</si>
  <si>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</si>
  <si>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</si>
  <si>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</si>
  <si>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</si>
  <si>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</si>
  <si>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</si>
  <si>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</si>
  <si>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</si>
  <si>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</si>
  <si>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</si>
  <si>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</si>
  <si>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</si>
  <si>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</si>
  <si>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</si>
  <si>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</si>
  <si>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</si>
  <si>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</si>
  <si>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</si>
  <si>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</si>
  <si>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</si>
  <si>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</si>
  <si>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</si>
  <si>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</si>
  <si>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</si>
  <si>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</si>
  <si>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</si>
  <si>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</si>
  <si>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</si>
  <si>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</si>
  <si>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</si>
  <si>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</si>
  <si>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</si>
  <si>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</si>
  <si>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</si>
  <si>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</si>
  <si>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</si>
  <si>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</si>
  <si>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</si>
  <si>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</si>
  <si>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</si>
  <si>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</si>
  <si>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</si>
  <si>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</si>
  <si>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</si>
  <si>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</si>
  <si>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</si>
  <si>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</si>
  <si>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</si>
  <si>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</si>
  <si>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</si>
  <si>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</si>
  <si>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</si>
  <si>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</si>
  <si>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</si>
  <si>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</si>
  <si>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</si>
  <si>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</si>
  <si>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</si>
  <si>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</si>
  <si>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</si>
  <si>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</si>
  <si>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</si>
  <si>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</si>
  <si>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</si>
  <si>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</si>
  <si>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</si>
  <si>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</si>
  <si>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</si>
  <si>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</si>
  <si>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</si>
  <si>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</si>
  <si>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</si>
  <si>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</si>
  <si>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</si>
  <si>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</si>
  <si>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</si>
  <si>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</si>
  <si>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</si>
  <si>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</si>
  <si>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</si>
  <si>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</si>
  <si>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</si>
  <si>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</si>
  <si>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</si>
  <si>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</si>
  <si>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</si>
  <si>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</si>
  <si>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</si>
  <si>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</si>
  <si>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</si>
  <si>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</si>
  <si>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</si>
  <si>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</si>
  <si>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</si>
  <si>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</si>
  <si>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</si>
  <si>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</si>
  <si>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</si>
  <si>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</si>
  <si>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</si>
  <si>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</si>
  <si>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</si>
  <si>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</si>
  <si>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</si>
  <si>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</si>
  <si>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</si>
  <si>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</si>
  <si>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</si>
  <si>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</si>
  <si>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</si>
  <si>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</si>
  <si>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</si>
  <si>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</si>
  <si>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</si>
  <si>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</si>
  <si>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</si>
  <si>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</si>
  <si>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</si>
  <si>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</si>
  <si>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</si>
  <si>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</si>
  <si>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</si>
  <si>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</si>
  <si>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</si>
  <si>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</si>
  <si>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</si>
  <si>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</si>
  <si>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</si>
  <si>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</si>
  <si>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</si>
  <si>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</si>
  <si>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</si>
  <si>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</si>
  <si>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</si>
  <si>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</si>
  <si>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</si>
  <si>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</si>
  <si>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</si>
  <si>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</si>
  <si>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</si>
  <si>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</si>
  <si>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</si>
  <si>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</si>
  <si>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</si>
  <si>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</si>
  <si>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</si>
  <si>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</si>
  <si>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</si>
  <si>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</si>
  <si>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</si>
  <si>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</si>
  <si>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</si>
  <si>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</si>
  <si>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</si>
  <si>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</si>
  <si>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</si>
  <si>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</si>
  <si>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</si>
  <si>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</si>
  <si>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</si>
  <si>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</si>
  <si>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</si>
  <si>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</si>
  <si>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</si>
  <si>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</si>
  <si>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</si>
  <si>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</si>
  <si>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</si>
  <si>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</si>
  <si>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</si>
  <si>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</si>
  <si>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</si>
  <si>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</si>
  <si>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</si>
  <si>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</si>
  <si>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</si>
  <si>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</si>
  <si>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</si>
  <si>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</si>
  <si>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</si>
  <si>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</si>
  <si>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</si>
  <si>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</si>
  <si>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</si>
  <si>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</si>
  <si>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</si>
  <si>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</si>
  <si>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</si>
  <si>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</si>
  <si>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</si>
  <si>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</si>
  <si>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</si>
  <si>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</si>
  <si>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</si>
  <si>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</si>
  <si>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</si>
  <si>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</si>
  <si>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</si>
  <si>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</si>
  <si>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</si>
  <si>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</si>
  <si>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</si>
  <si>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</si>
  <si>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</si>
  <si>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</si>
  <si>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</si>
  <si>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</si>
  <si>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</si>
  <si>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</si>
  <si>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</si>
  <si>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</si>
  <si>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</si>
  <si>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</si>
  <si>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</si>
  <si>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</si>
  <si>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</si>
  <si>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</si>
  <si>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</si>
  <si>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</si>
  <si>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</si>
  <si>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</si>
  <si>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</si>
  <si>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</si>
  <si>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</si>
  <si>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</si>
  <si>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</si>
  <si>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</si>
  <si>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</si>
  <si>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</si>
  <si>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</si>
  <si>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</si>
  <si>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</si>
  <si>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</si>
  <si>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</si>
  <si>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</si>
  <si>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</si>
  <si>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</si>
  <si>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</si>
  <si>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</si>
  <si>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</si>
  <si>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</si>
  <si>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</si>
  <si>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</si>
  <si>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</si>
  <si>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</si>
  <si>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</si>
  <si>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</si>
  <si>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</si>
  <si>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</si>
  <si>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</si>
  <si>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</si>
  <si>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</si>
  <si>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</si>
  <si>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</si>
  <si>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</si>
  <si>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</si>
  <si>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</si>
  <si>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</si>
  <si>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</si>
  <si>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</si>
  <si>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</si>
  <si>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</si>
  <si>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</si>
  <si>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</si>
  <si>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</si>
  <si>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</si>
  <si>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</si>
  <si>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</si>
  <si>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</si>
  <si>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</si>
  <si>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</si>
  <si>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</si>
  <si>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</si>
  <si>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</si>
  <si>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</si>
  <si>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</si>
  <si>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</si>
  <si>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</si>
  <si>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</si>
  <si>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</si>
  <si>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</si>
  <si>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</si>
  <si>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</si>
  <si>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</si>
  <si>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</si>
  <si>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</si>
  <si>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</si>
  <si>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</si>
  <si>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</si>
  <si>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</si>
  <si>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</si>
  <si>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</si>
  <si>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</si>
  <si>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</si>
  <si>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</si>
  <si>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</si>
  <si>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</si>
  <si>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</si>
  <si>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</si>
  <si>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</si>
  <si>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</si>
  <si>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</si>
  <si>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</si>
  <si>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</si>
  <si>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</si>
  <si>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</si>
  <si>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</si>
  <si>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</si>
  <si>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</si>
  <si>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</si>
  <si>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</si>
  <si>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</si>
  <si>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</si>
  <si>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</si>
  <si>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</si>
  <si>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</si>
  <si>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</si>
  <si>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</si>
  <si>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</si>
  <si>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</si>
  <si>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</si>
  <si>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</si>
  <si>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</si>
  <si>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</si>
  <si>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</si>
  <si>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</si>
  <si>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</si>
  <si>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</si>
  <si>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</si>
  <si>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</si>
  <si>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</si>
  <si>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</si>
  <si>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</si>
  <si>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</si>
  <si>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</si>
  <si>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</si>
  <si>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</si>
  <si>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</si>
  <si>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</si>
  <si>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</si>
  <si>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</si>
  <si>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</si>
  <si>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</si>
  <si>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</si>
  <si>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</si>
  <si>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</si>
  <si>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</si>
  <si>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</si>
  <si>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</si>
  <si>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</si>
  <si>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</si>
  <si>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</si>
  <si>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</si>
  <si>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</si>
  <si>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</si>
  <si>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</si>
  <si>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</si>
  <si>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</si>
  <si>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</si>
  <si>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</si>
  <si>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</si>
  <si>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</si>
  <si>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</si>
  <si>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</si>
  <si>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</si>
  <si>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</si>
  <si>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</si>
  <si>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</si>
  <si>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</si>
  <si>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</si>
  <si>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</si>
  <si>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</si>
  <si>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</si>
  <si>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</si>
  <si>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</si>
  <si>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</si>
  <si>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</si>
  <si>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</si>
  <si>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</si>
  <si>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</si>
  <si>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</si>
  <si>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</si>
  <si>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</si>
  <si>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</si>
  <si>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</si>
  <si>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</si>
  <si>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</si>
  <si>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</si>
  <si>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</si>
  <si>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</si>
  <si>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</si>
  <si>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</si>
  <si>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</si>
  <si>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</si>
  <si>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</si>
  <si>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</si>
  <si>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</si>
  <si>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</si>
  <si>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</si>
  <si>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</si>
  <si>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</si>
  <si>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</si>
  <si>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</si>
  <si>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</si>
  <si>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</si>
  <si>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</si>
  <si>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</si>
  <si>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</si>
  <si>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</si>
  <si>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</si>
  <si>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</si>
  <si>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</si>
  <si>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</si>
  <si>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</si>
  <si>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</si>
  <si>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</si>
  <si>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</si>
  <si>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</si>
  <si>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</si>
  <si>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</si>
  <si>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</si>
  <si>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</si>
  <si>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</si>
  <si>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</si>
  <si>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</si>
  <si>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</si>
  <si>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</si>
  <si>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</si>
  <si>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</si>
  <si>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</si>
  <si>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</si>
  <si>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</si>
  <si>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</si>
  <si>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</si>
  <si>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</si>
  <si>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</si>
  <si>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</si>
  <si>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</si>
  <si>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</si>
  <si>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</si>
  <si>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</si>
  <si>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</si>
  <si>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</si>
  <si>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</si>
  <si>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</si>
  <si>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</si>
  <si>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</si>
  <si>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</si>
  <si>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</si>
  <si>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</si>
  <si>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</si>
  <si>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</si>
  <si>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</si>
  <si>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</si>
  <si>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</si>
  <si>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</si>
  <si>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</si>
  <si>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</si>
  <si>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</si>
  <si>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</si>
  <si>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</si>
  <si>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</si>
  <si>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</si>
  <si>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</si>
  <si>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</si>
  <si>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</si>
  <si>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</si>
  <si>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</si>
  <si>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</si>
  <si>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</si>
  <si>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</si>
  <si>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</si>
  <si>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</si>
  <si>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</si>
  <si>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</si>
  <si>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</si>
  <si>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</si>
  <si>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</si>
  <si>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</si>
  <si>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</si>
  <si>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</si>
  <si>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</si>
  <si>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</si>
  <si>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</si>
  <si>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</si>
  <si>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</si>
  <si>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</si>
  <si>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</si>
  <si>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</si>
  <si>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</si>
  <si>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</si>
  <si>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</si>
  <si>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</si>
  <si>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</si>
  <si>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</si>
  <si>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</si>
  <si>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</si>
  <si>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</si>
  <si>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</si>
  <si>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</si>
  <si>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</si>
  <si>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</si>
  <si>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</si>
  <si>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</si>
  <si>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</si>
  <si>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</si>
  <si>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</si>
  <si>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</si>
  <si>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</si>
  <si>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</si>
  <si>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</si>
  <si>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</si>
  <si>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</si>
  <si>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</si>
  <si>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</si>
  <si>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</si>
  <si>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</si>
  <si>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</si>
  <si>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</si>
  <si>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</si>
  <si>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</si>
  <si>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</si>
  <si>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</si>
  <si>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</si>
  <si>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</si>
  <si>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</si>
  <si>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</si>
  <si>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</si>
  <si>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</si>
  <si>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</si>
  <si>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</si>
  <si>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</si>
  <si>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</si>
  <si>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</si>
  <si>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</si>
  <si>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</si>
  <si>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</si>
  <si>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</si>
  <si>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</si>
  <si>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</si>
  <si>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</si>
  <si>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</si>
  <si>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</si>
  <si>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</si>
  <si>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</si>
  <si>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</si>
  <si>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</si>
  <si>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</si>
  <si>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</si>
  <si>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</si>
  <si>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</si>
  <si>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</si>
  <si>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</si>
  <si>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</si>
  <si>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</si>
  <si>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</si>
  <si>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</si>
  <si>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</si>
  <si>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</si>
  <si>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</si>
  <si>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</si>
  <si>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</si>
  <si>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</si>
  <si>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</si>
  <si>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</si>
  <si>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</si>
  <si>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</si>
  <si>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</si>
  <si>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</si>
  <si>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</si>
  <si>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</si>
  <si>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</si>
  <si>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</si>
  <si>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</si>
  <si>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</si>
  <si>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</si>
  <si>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</si>
  <si>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</si>
  <si>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</si>
  <si>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</si>
  <si>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</si>
  <si>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</si>
  <si>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</si>
  <si>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</si>
  <si>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</si>
  <si>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</si>
  <si>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</si>
  <si>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</si>
  <si>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</si>
  <si>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</si>
  <si>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</si>
  <si>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</si>
  <si>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</si>
  <si>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</si>
  <si>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</si>
  <si>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</si>
  <si>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</si>
  <si>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</si>
  <si>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</si>
  <si>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</si>
  <si>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</si>
  <si>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</si>
  <si>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</si>
  <si>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</si>
  <si>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</si>
  <si>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</si>
  <si>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</si>
  <si>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</si>
  <si>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</si>
  <si>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</si>
  <si>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</si>
  <si>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</si>
  <si>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</si>
  <si>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</si>
  <si>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</si>
  <si>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</si>
  <si>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</si>
  <si>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</si>
  <si>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</si>
  <si>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</si>
  <si>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</si>
  <si>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</si>
  <si>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</si>
  <si>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</si>
  <si>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</si>
  <si>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</si>
  <si>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</si>
  <si>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</si>
  <si>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</si>
  <si>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</si>
  <si>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</si>
  <si>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</si>
  <si>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</si>
  <si>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</si>
  <si>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</si>
  <si>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</si>
  <si>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</si>
  <si>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</si>
  <si>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</si>
  <si>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</si>
  <si>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</si>
  <si>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</si>
  <si>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</si>
  <si>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</si>
  <si>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</si>
  <si>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</si>
  <si>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</si>
  <si>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</si>
  <si>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</si>
  <si>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</si>
  <si>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</si>
  <si>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</si>
  <si>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</si>
  <si>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</si>
  <si>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</si>
  <si>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</si>
  <si>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</si>
  <si>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</si>
  <si>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</si>
  <si>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</si>
  <si>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</si>
  <si>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</si>
  <si>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</si>
  <si>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</si>
  <si>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</si>
  <si>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</si>
  <si>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</si>
  <si>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</si>
  <si>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</si>
  <si>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</si>
  <si>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</si>
  <si>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</si>
  <si>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</si>
  <si>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</si>
  <si>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</si>
  <si>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</si>
  <si>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</si>
  <si>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</si>
  <si>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</si>
  <si>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</si>
  <si>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</si>
  <si>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</si>
  <si>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</si>
  <si>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</si>
  <si>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</si>
  <si>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</si>
  <si>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</si>
  <si>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</si>
  <si>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</si>
  <si>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</si>
  <si>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</si>
  <si>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</si>
  <si>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</si>
  <si>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</si>
  <si>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</si>
  <si>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</si>
  <si>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</si>
  <si>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</si>
  <si>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</si>
  <si>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</si>
  <si>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</si>
  <si>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</si>
  <si>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</si>
  <si>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</si>
  <si>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</si>
  <si>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</si>
  <si>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</si>
  <si>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</si>
  <si>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</si>
  <si>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</si>
  <si>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</si>
  <si>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</si>
  <si>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</si>
  <si>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</si>
  <si>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</si>
  <si>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</si>
  <si>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</si>
  <si>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</si>
  <si>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</si>
  <si>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</si>
  <si>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</si>
  <si>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</si>
  <si>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</si>
  <si>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</si>
  <si>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</si>
  <si>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</si>
  <si>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</si>
  <si>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</si>
  <si>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</si>
  <si>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</si>
  <si>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</si>
  <si>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</si>
  <si>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</si>
  <si>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</si>
  <si>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</si>
  <si>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</si>
  <si>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</si>
  <si>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</si>
  <si>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</si>
  <si>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</si>
  <si>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</si>
  <si>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</si>
  <si>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</si>
  <si>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</si>
  <si>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</si>
  <si>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</si>
  <si>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</si>
  <si>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</si>
  <si>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</si>
  <si>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</si>
  <si>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</si>
  <si>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</si>
  <si>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</si>
  <si>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</si>
  <si>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</si>
  <si>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</si>
  <si>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</si>
  <si>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</si>
  <si>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</si>
  <si>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</si>
  <si>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</si>
  <si>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</si>
  <si>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</si>
  <si>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</si>
  <si>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</si>
  <si>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</si>
  <si>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</si>
  <si>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</si>
  <si>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</si>
  <si>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</si>
  <si>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</si>
  <si>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</si>
  <si>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</si>
  <si>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</si>
  <si>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</si>
  <si>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</si>
  <si>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</si>
  <si>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</si>
  <si>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</si>
  <si>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</si>
  <si>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</si>
  <si>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</si>
  <si>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</si>
  <si>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</si>
  <si>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</si>
  <si>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</si>
  <si>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</si>
  <si>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</si>
  <si>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</si>
  <si>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</si>
  <si>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</si>
  <si>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</si>
  <si>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</si>
  <si>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</si>
  <si>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</si>
  <si>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</si>
  <si>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</si>
  <si>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</si>
  <si>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</si>
  <si>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</si>
  <si>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</si>
  <si>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</si>
  <si>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</si>
  <si>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</si>
  <si>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</si>
  <si>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</si>
  <si>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</si>
  <si>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</si>
  <si>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</si>
  <si>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</si>
  <si>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</si>
  <si>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</si>
  <si>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</si>
  <si>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</si>
  <si>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</si>
  <si>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</si>
  <si>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</si>
  <si>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</si>
  <si>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</si>
  <si>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</si>
  <si>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</si>
  <si>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</si>
  <si>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</si>
  <si>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</si>
  <si>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</si>
  <si>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</si>
  <si>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</si>
  <si>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</si>
  <si>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</si>
  <si>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</si>
  <si>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</si>
  <si>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</si>
  <si>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</si>
  <si>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</si>
  <si>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</si>
  <si>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</si>
  <si>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</si>
  <si>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</si>
  <si>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</si>
  <si>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</si>
  <si>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</si>
  <si>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</si>
  <si>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</si>
  <si>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</si>
  <si>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</si>
  <si>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</si>
  <si>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</si>
  <si>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</si>
  <si>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</si>
  <si>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</si>
  <si>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</si>
  <si>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</si>
  <si>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</si>
  <si>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</si>
  <si>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</si>
  <si>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</si>
  <si>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</si>
  <si>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</si>
  <si>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</si>
  <si>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</si>
  <si>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</si>
  <si>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</si>
  <si>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</si>
  <si>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</si>
  <si>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</si>
  <si>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</si>
  <si>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</si>
  <si>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</si>
  <si>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</si>
  <si>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</si>
  <si>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</si>
  <si>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</si>
  <si>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</si>
  <si>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</si>
  <si>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</si>
  <si>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</si>
  <si>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</si>
  <si>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</si>
  <si>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</si>
  <si>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</si>
  <si>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</si>
  <si>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</si>
  <si>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</si>
  <si>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</si>
  <si>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</si>
  <si>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</si>
  <si>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</si>
  <si>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</si>
  <si>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</si>
  <si>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</si>
  <si>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</si>
  <si>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</si>
  <si>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</si>
  <si>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</si>
  <si>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</si>
  <si>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</si>
  <si>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</si>
  <si>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</si>
  <si>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</si>
  <si>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</si>
  <si>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</si>
  <si>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</si>
  <si>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</si>
  <si>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</si>
  <si>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</si>
  <si>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</si>
  <si>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</si>
  <si>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</si>
  <si>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</si>
  <si>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</si>
  <si>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</si>
  <si>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</si>
  <si>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</si>
  <si>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</si>
  <si>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</si>
  <si>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</si>
  <si>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</si>
  <si>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</si>
  <si>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</si>
  <si>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</si>
  <si>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</si>
  <si>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</si>
  <si>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</si>
  <si>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</si>
  <si>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</si>
  <si>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</si>
  <si>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</si>
  <si>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</si>
  <si>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</si>
  <si>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</si>
  <si>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</si>
  <si>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</si>
  <si>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</si>
  <si>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</si>
  <si>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</si>
  <si>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</si>
  <si>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</si>
  <si>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</si>
  <si>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</si>
  <si>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</si>
  <si>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</si>
  <si>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</si>
  <si>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</si>
  <si>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</si>
  <si>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</si>
  <si>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</si>
  <si>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</si>
  <si>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</si>
  <si>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</si>
  <si>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</si>
  <si>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</si>
  <si>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</si>
  <si>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</si>
  <si>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</si>
  <si>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</si>
  <si>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</si>
  <si>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</si>
  <si>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</si>
  <si>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</si>
  <si>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</si>
  <si>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</si>
  <si>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</si>
  <si>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</si>
  <si>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</si>
  <si>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</si>
  <si>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</si>
  <si>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</si>
  <si>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</si>
  <si>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</si>
  <si>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</si>
  <si>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</si>
  <si>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</si>
  <si>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</si>
  <si>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</si>
  <si>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</si>
  <si>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</si>
  <si>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</si>
  <si>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</si>
  <si>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</si>
  <si>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</si>
  <si>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</si>
  <si>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</si>
  <si>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</si>
  <si>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</si>
  <si>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</si>
  <si>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</si>
  <si>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</si>
  <si>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</si>
  <si>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</si>
  <si>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</si>
  <si>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</si>
  <si>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</si>
  <si>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</si>
  <si>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</si>
  <si>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</si>
  <si>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</si>
  <si>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</si>
  <si>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</si>
  <si>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</si>
  <si>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</si>
  <si>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</si>
  <si>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</si>
  <si>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</si>
  <si>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</si>
  <si>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</si>
  <si>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</si>
  <si>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</si>
  <si>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</si>
  <si>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</si>
  <si>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</si>
  <si>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</si>
  <si>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</si>
  <si>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</si>
  <si>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</si>
  <si>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</si>
  <si>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</si>
  <si>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</si>
  <si>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</si>
  <si>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</si>
  <si>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</si>
  <si>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</si>
  <si>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</si>
  <si>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</si>
  <si>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</si>
  <si>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</si>
  <si>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</si>
  <si>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</si>
  <si>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</si>
  <si>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</si>
  <si>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</si>
  <si>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</si>
  <si>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</si>
  <si>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</si>
  <si>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</si>
  <si>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</si>
  <si>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</si>
  <si>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</si>
  <si>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</si>
  <si>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</si>
  <si>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</si>
  <si>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</si>
  <si>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</si>
  <si>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</si>
  <si>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</si>
  <si>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</si>
  <si>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</si>
  <si>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</si>
  <si>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</si>
  <si>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</si>
  <si>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</si>
  <si>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</si>
  <si>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</si>
  <si>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</si>
  <si>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</si>
  <si>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</si>
  <si>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</si>
  <si>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</si>
  <si>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</si>
  <si>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</si>
  <si>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</si>
  <si>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</si>
  <si>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</si>
  <si>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</si>
  <si>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</si>
  <si>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</si>
  <si>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</si>
  <si>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</si>
  <si>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</si>
  <si>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</si>
  <si>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</si>
  <si>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</si>
  <si>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</si>
  <si>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</si>
  <si>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</si>
  <si>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</si>
  <si>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</si>
  <si>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</si>
  <si>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</si>
  <si>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</si>
  <si>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</si>
  <si>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</si>
  <si>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</si>
  <si>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</si>
  <si>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</si>
  <si>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</si>
  <si>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</si>
  <si>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</si>
  <si>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</si>
  <si>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</si>
  <si>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</si>
  <si>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</si>
  <si>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</si>
  <si>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</si>
  <si>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</si>
  <si>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</si>
  <si>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</si>
  <si>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</si>
  <si>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</si>
  <si>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</si>
  <si>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</si>
  <si>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</si>
  <si>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</si>
  <si>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</si>
  <si>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</si>
  <si>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</si>
  <si>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</si>
  <si>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</si>
  <si>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</si>
  <si>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</si>
  <si>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</si>
  <si>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</si>
  <si>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</si>
  <si>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</si>
  <si>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</si>
  <si>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</si>
  <si>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</si>
  <si>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</si>
  <si>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</si>
  <si>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</si>
  <si>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</si>
  <si>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</si>
  <si>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</si>
  <si>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</si>
  <si>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</si>
  <si>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</si>
  <si>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</si>
  <si>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</si>
  <si>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</si>
  <si>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</si>
  <si>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</si>
  <si>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</si>
  <si>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</si>
  <si>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</si>
  <si>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</si>
  <si>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</si>
  <si>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</si>
  <si>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</si>
  <si>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</si>
  <si>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</si>
  <si>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</si>
  <si>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</si>
  <si>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</si>
  <si>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</si>
  <si>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</si>
  <si>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</si>
  <si>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</si>
  <si>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</si>
  <si>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</si>
  <si>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</si>
  <si>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</si>
  <si>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</si>
  <si>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</si>
  <si>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</si>
  <si>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</si>
  <si>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</si>
  <si>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</si>
  <si>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</si>
  <si>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</si>
  <si>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</si>
  <si>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</si>
  <si>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</si>
  <si>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</si>
  <si>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</si>
  <si>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</si>
  <si>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</si>
  <si>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</si>
  <si>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</si>
  <si>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</si>
  <si>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</si>
  <si>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</si>
  <si>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</si>
  <si>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</si>
  <si>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</si>
  <si>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</si>
  <si>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</si>
  <si>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</si>
  <si>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</si>
  <si>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</si>
  <si>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</si>
  <si>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</si>
  <si>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</si>
  <si>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</si>
  <si>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</si>
  <si>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</si>
  <si>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</si>
  <si>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</si>
  <si>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</si>
  <si>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</si>
  <si>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</si>
  <si>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</si>
  <si>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</si>
  <si>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</si>
  <si>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</si>
  <si>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</si>
  <si>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</si>
  <si>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</si>
  <si>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</si>
  <si>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</si>
  <si>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</si>
  <si>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</si>
  <si>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</si>
  <si>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</si>
  <si>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</si>
  <si>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</si>
  <si>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</si>
  <si>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</si>
  <si>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</si>
  <si>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</si>
  <si>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</si>
  <si>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</si>
  <si>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</si>
  <si>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</si>
  <si>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</si>
  <si>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</si>
  <si>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</si>
  <si>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</si>
  <si>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</si>
  <si>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</si>
  <si>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</si>
  <si>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</si>
  <si>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</si>
  <si>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</si>
  <si>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</si>
  <si>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</si>
  <si>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</si>
  <si>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</si>
  <si>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</si>
  <si>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</si>
  <si>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</si>
  <si>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</si>
  <si>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</si>
  <si>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</si>
  <si>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</si>
  <si>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</si>
  <si>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</si>
  <si>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</si>
  <si>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</si>
  <si>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</si>
  <si>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</si>
  <si>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</si>
  <si>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</si>
  <si>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</si>
  <si>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</si>
  <si>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</si>
  <si>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</si>
  <si>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</si>
  <si>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</si>
  <si>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</si>
  <si>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</si>
  <si>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</si>
  <si>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</si>
  <si>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</si>
  <si>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</si>
  <si>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</si>
  <si>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</si>
  <si>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</si>
  <si>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</si>
  <si>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</si>
  <si>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</si>
  <si>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</si>
  <si>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</si>
  <si>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</si>
  <si>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</si>
  <si>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</si>
  <si>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</si>
  <si>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</si>
  <si>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</si>
  <si>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</si>
  <si>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</si>
  <si>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</si>
  <si>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</si>
  <si>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</si>
  <si>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</si>
  <si>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</si>
  <si>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</si>
  <si>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</si>
  <si>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</si>
  <si>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</si>
  <si>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</si>
  <si>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</si>
  <si>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</si>
  <si>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</si>
  <si>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</si>
  <si>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</si>
  <si>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</si>
  <si>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</si>
  <si>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</si>
  <si>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</si>
  <si>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</si>
  <si>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</si>
  <si>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</si>
  <si>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</si>
  <si>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</si>
  <si>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</si>
  <si>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</si>
  <si>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</si>
  <si>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</si>
  <si>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</si>
  <si>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</si>
  <si>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</si>
  <si>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</si>
  <si>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</si>
  <si>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</si>
  <si>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</si>
  <si>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</si>
  <si>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</si>
  <si>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</si>
  <si>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</si>
  <si>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</si>
  <si>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</si>
  <si>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</si>
  <si>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</si>
  <si>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</si>
  <si>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</si>
  <si>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</si>
  <si>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</si>
  <si>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</si>
  <si>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</si>
  <si>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</si>
  <si>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</si>
  <si>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</si>
  <si>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</si>
  <si>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</si>
  <si>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</si>
  <si>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</si>
  <si>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</si>
  <si>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</si>
  <si>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</si>
  <si>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</si>
  <si>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</si>
  <si>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</si>
  <si>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</si>
  <si>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</si>
  <si>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</si>
  <si>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</si>
  <si>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</si>
  <si>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</si>
  <si>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</si>
  <si>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</si>
  <si>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</si>
  <si>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</si>
  <si>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</si>
  <si>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</si>
  <si>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</si>
  <si>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</si>
  <si>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</si>
  <si>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</si>
  <si>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</si>
  <si>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</si>
  <si>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</si>
  <si>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</si>
  <si>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</si>
  <si>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</si>
  <si>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</si>
  <si>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</si>
  <si>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</si>
  <si>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</si>
  <si>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</si>
  <si>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</si>
  <si>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</si>
  <si>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</si>
  <si>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</si>
  <si>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</si>
  <si>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</si>
  <si>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</si>
  <si>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</si>
  <si>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</si>
  <si>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</si>
  <si>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</si>
  <si>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</si>
  <si>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</si>
  <si>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</si>
  <si>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</si>
  <si>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</si>
  <si>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</si>
  <si>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</si>
  <si>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</si>
  <si>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</si>
  <si>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</si>
  <si>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</si>
  <si>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</si>
  <si>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</si>
  <si>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</si>
  <si>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</si>
  <si>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</si>
  <si>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</si>
  <si>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</si>
  <si>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</si>
  <si>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</si>
  <si>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</si>
  <si>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</si>
  <si>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</si>
  <si>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</si>
  <si>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</si>
  <si>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</si>
  <si>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</si>
  <si>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</si>
  <si>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</si>
  <si>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</si>
  <si>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</si>
  <si>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</si>
  <si>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</si>
  <si>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</si>
  <si>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</si>
  <si>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</si>
  <si>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</si>
  <si>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</si>
  <si>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</si>
  <si>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</si>
  <si>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</si>
  <si>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</si>
  <si>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</si>
  <si>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</si>
  <si>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</si>
  <si>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</si>
  <si>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</si>
  <si>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</si>
  <si>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</si>
  <si>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</si>
  <si>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</si>
  <si>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</si>
  <si>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</si>
  <si>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</si>
  <si>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</si>
  <si>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</si>
  <si>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</si>
  <si>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</si>
  <si>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</si>
  <si>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</si>
  <si>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</si>
  <si>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</si>
  <si>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</si>
  <si>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</si>
  <si>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</si>
  <si>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</si>
  <si>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</si>
  <si>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</si>
  <si>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</si>
  <si>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</si>
  <si>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</si>
  <si>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</si>
  <si>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</si>
  <si>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</si>
  <si>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</si>
  <si>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</si>
  <si>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</si>
  <si>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</si>
  <si>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</si>
  <si>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</si>
  <si>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</si>
  <si>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</si>
  <si>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</si>
  <si>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</si>
  <si>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</si>
  <si>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</si>
  <si>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</si>
  <si>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</si>
  <si>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</si>
  <si>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</si>
  <si>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</si>
  <si>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</si>
  <si>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</si>
  <si>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</si>
  <si>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</si>
  <si>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</si>
  <si>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</si>
  <si>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</si>
  <si>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</si>
  <si>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</si>
  <si>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</si>
  <si>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</si>
  <si>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</si>
  <si>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</si>
  <si>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</si>
  <si>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</si>
  <si>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</si>
  <si>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</si>
  <si>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</si>
  <si>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</si>
  <si>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</si>
  <si>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</si>
  <si>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</si>
  <si>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</si>
  <si>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</si>
  <si>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</si>
  <si>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</si>
  <si>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</si>
  <si>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</si>
  <si>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</si>
  <si>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</si>
  <si>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</si>
  <si>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</si>
  <si>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</si>
  <si>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</si>
  <si>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</si>
  <si>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</si>
  <si>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</si>
  <si>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</si>
  <si>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</si>
  <si>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</si>
  <si>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</si>
  <si>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</si>
  <si>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</si>
  <si>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</si>
  <si>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</si>
  <si>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</si>
  <si>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</si>
  <si>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</si>
  <si>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</si>
  <si>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</si>
  <si>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</si>
  <si>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</si>
  <si>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</si>
  <si>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</si>
  <si>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</si>
  <si>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</si>
  <si>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</si>
  <si>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</si>
  <si>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</si>
  <si>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</si>
  <si>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</si>
  <si>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</si>
  <si>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</si>
  <si>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</si>
  <si>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</si>
  <si>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</si>
  <si>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</si>
  <si>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</si>
  <si>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</si>
  <si>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</si>
  <si>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</si>
  <si>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</si>
  <si>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</si>
  <si>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</si>
  <si>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</si>
  <si>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</si>
  <si>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</si>
  <si>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</si>
  <si>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</si>
  <si>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</si>
  <si>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</si>
  <si>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</si>
  <si>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</si>
  <si>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</si>
  <si>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</si>
  <si>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</si>
  <si>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</si>
  <si>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</si>
  <si>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</si>
  <si>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</si>
  <si>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</si>
  <si>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</si>
  <si>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</si>
  <si>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</si>
  <si>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</si>
  <si>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</si>
  <si>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</si>
  <si>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</si>
  <si>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</si>
  <si>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</si>
  <si>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</si>
  <si>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</si>
  <si>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</si>
  <si>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</si>
  <si>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</si>
  <si>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</si>
  <si>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</si>
  <si>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</si>
  <si>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</si>
  <si>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</si>
  <si>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</si>
  <si>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</si>
  <si>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</si>
  <si>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</si>
  <si>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</si>
  <si>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</si>
  <si>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</si>
  <si>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</si>
  <si>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</si>
  <si>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</si>
  <si>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</si>
  <si>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</si>
  <si>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</si>
  <si>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</si>
  <si>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</si>
  <si>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</si>
  <si>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</si>
  <si>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</si>
  <si>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</si>
  <si>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</si>
  <si>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</si>
  <si>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</si>
  <si>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</si>
  <si>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</si>
  <si>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</si>
  <si>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</si>
  <si>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</si>
  <si>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</si>
  <si>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</si>
  <si>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</si>
  <si>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</si>
  <si>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</si>
  <si>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</si>
  <si>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</si>
  <si>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</si>
  <si>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</si>
  <si>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</si>
  <si>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</si>
  <si>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</si>
  <si>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</si>
  <si>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</si>
  <si>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</si>
  <si>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</si>
  <si>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</si>
  <si>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</si>
  <si>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</si>
  <si>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</si>
  <si>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</si>
  <si>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</si>
  <si>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</si>
  <si>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</si>
  <si>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</si>
  <si>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</si>
  <si>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</si>
  <si>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</si>
  <si>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</si>
  <si>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</si>
  <si>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</si>
  <si>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</si>
  <si>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</si>
  <si>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</si>
  <si>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</si>
  <si>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</si>
  <si>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</si>
  <si>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</si>
  <si>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</si>
  <si>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</si>
  <si>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</si>
  <si>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</si>
  <si>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</si>
  <si>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</si>
  <si>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</si>
  <si>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</si>
  <si>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</si>
  <si>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</si>
  <si>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</si>
  <si>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</si>
  <si>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</si>
  <si>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</si>
  <si>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</si>
  <si>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</si>
  <si>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</si>
  <si>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</si>
  <si>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</si>
  <si>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</si>
  <si>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</si>
  <si>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</si>
  <si>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</si>
  <si>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</si>
  <si>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</si>
  <si>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</si>
  <si>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</si>
  <si>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</si>
  <si>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</si>
  <si>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</si>
  <si>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</si>
  <si>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</si>
  <si>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</si>
  <si>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</si>
  <si>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</si>
  <si>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</si>
  <si>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</si>
  <si>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</si>
  <si>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</si>
  <si>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</si>
  <si>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</si>
  <si>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</si>
  <si>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</si>
  <si>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</si>
  <si>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</si>
  <si>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</si>
  <si>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</si>
  <si>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</si>
  <si>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</si>
  <si>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</si>
  <si>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</si>
  <si>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</si>
  <si>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</si>
  <si>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</si>
  <si>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</si>
  <si>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</si>
  <si>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</si>
  <si>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</si>
  <si>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</si>
  <si>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</si>
  <si>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</si>
  <si>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</si>
  <si>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</si>
  <si>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</si>
  <si>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</si>
  <si>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</si>
  <si>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</si>
  <si>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</si>
  <si>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</si>
  <si>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</si>
  <si>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</si>
  <si>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</si>
  <si>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</si>
  <si>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</si>
  <si>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</si>
  <si>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</si>
  <si>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</si>
  <si>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</si>
  <si>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</si>
  <si>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</si>
  <si>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</si>
  <si>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</si>
  <si>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</si>
  <si>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</si>
  <si>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</si>
  <si>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</si>
  <si>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</si>
  <si>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</si>
  <si>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</si>
  <si>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</si>
  <si>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</si>
  <si>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</si>
  <si>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</si>
  <si>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</si>
  <si>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</si>
  <si>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</si>
  <si>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</si>
  <si>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</si>
  <si>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</si>
  <si>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</si>
  <si>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</si>
  <si>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</si>
  <si>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</si>
  <si>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</si>
  <si>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</si>
  <si>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</si>
  <si>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</si>
  <si>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</si>
  <si>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</si>
  <si>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</si>
  <si>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</si>
  <si>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</si>
  <si>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</si>
  <si>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</si>
  <si>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</si>
  <si>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</si>
  <si>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</si>
  <si>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</si>
  <si>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</si>
  <si>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</si>
  <si>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</si>
  <si>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</si>
  <si>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</si>
  <si>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</si>
  <si>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</si>
  <si>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</si>
  <si>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</si>
  <si>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</si>
  <si>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</si>
  <si>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</si>
  <si>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</si>
  <si>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</si>
  <si>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</si>
  <si>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</si>
  <si>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</si>
  <si>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</si>
  <si>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</si>
  <si>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</si>
  <si>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</si>
  <si>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</si>
  <si>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</si>
  <si>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</si>
  <si>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</si>
  <si>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</si>
  <si>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</si>
  <si>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</si>
  <si>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</si>
  <si>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</si>
  <si>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</si>
  <si>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</si>
  <si>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</si>
  <si>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</si>
  <si>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</si>
  <si>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</si>
  <si>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</si>
  <si>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</si>
  <si>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</si>
  <si>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</si>
  <si>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</si>
  <si>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</si>
  <si>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</si>
  <si>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</si>
  <si>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</si>
  <si>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</si>
  <si>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</si>
  <si>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</si>
  <si>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</si>
  <si>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</si>
  <si>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</si>
  <si>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</si>
  <si>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</si>
  <si>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</si>
  <si>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</si>
  <si>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</si>
  <si>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</si>
  <si>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</si>
  <si>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</si>
  <si>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</si>
  <si>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</si>
  <si>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</si>
  <si>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</si>
  <si>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</si>
  <si>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</si>
  <si>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</si>
  <si>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</si>
  <si>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</si>
  <si>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</si>
  <si>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</si>
  <si>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</si>
  <si>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</si>
  <si>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</si>
  <si>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</si>
  <si>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</si>
  <si>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</si>
  <si>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</si>
  <si>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</si>
  <si>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</si>
  <si>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</si>
  <si>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</si>
  <si>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</si>
  <si>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</si>
  <si>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</si>
  <si>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</si>
  <si>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</si>
  <si>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</si>
  <si>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</si>
  <si>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</si>
  <si>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</si>
  <si>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</si>
  <si>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</si>
  <si>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</si>
  <si>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</si>
  <si>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</si>
  <si>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</si>
  <si>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</si>
  <si>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</si>
  <si>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</si>
  <si>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</si>
  <si>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</si>
  <si>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</si>
  <si>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</si>
  <si>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</si>
  <si>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</si>
  <si>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</si>
  <si>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</si>
  <si>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</si>
  <si>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</si>
  <si>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</si>
  <si>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</si>
  <si>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</si>
  <si>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</si>
  <si>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</si>
  <si>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</si>
  <si>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</si>
  <si>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</si>
  <si>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</si>
  <si>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</si>
  <si>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</si>
  <si>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</si>
  <si>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</si>
  <si>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</si>
  <si>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</si>
  <si>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</si>
  <si>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</si>
  <si>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</si>
  <si>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</si>
  <si>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</si>
  <si>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</si>
  <si>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</si>
  <si>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</si>
  <si>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</si>
  <si>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</si>
  <si>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</si>
  <si>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</si>
  <si>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</si>
  <si>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</si>
  <si>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</si>
  <si>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</si>
  <si>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</si>
  <si>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</si>
  <si>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</si>
  <si>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</si>
  <si>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</si>
  <si>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</si>
  <si>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</si>
  <si>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</si>
  <si>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</si>
  <si>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</si>
  <si>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</si>
  <si>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</si>
  <si>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</si>
  <si>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</si>
  <si>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</si>
  <si>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</si>
  <si>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</si>
  <si>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</si>
  <si>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</si>
  <si>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</si>
  <si>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</si>
  <si>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</si>
  <si>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</si>
  <si>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</si>
  <si>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</si>
  <si>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</si>
  <si>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</si>
  <si>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</si>
  <si>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</si>
  <si>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</si>
  <si>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</si>
  <si>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</si>
  <si>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</si>
  <si>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</si>
  <si>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</si>
  <si>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</si>
  <si>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</si>
  <si>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</si>
  <si>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</si>
  <si>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</si>
  <si>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</si>
  <si>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</si>
  <si>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</si>
  <si>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</si>
  <si>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</si>
  <si>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</si>
  <si>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</si>
  <si>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</si>
  <si>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</si>
  <si>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</si>
  <si>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</si>
  <si>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</si>
  <si>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</si>
  <si>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</si>
  <si>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</si>
  <si>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</si>
  <si>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</si>
  <si>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</si>
  <si>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</si>
  <si>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</si>
  <si>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</si>
  <si>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</si>
  <si>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</si>
  <si>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</si>
  <si>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</si>
  <si>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</si>
  <si>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</si>
  <si>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</si>
  <si>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</si>
  <si>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</si>
  <si>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</si>
  <si>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</si>
  <si>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</si>
  <si>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</si>
  <si>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</si>
  <si>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</si>
  <si>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</si>
  <si>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</si>
  <si>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</si>
  <si>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</si>
  <si>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</si>
  <si>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</si>
  <si>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</si>
  <si>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</si>
  <si>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</si>
  <si>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</si>
  <si>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</si>
  <si>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</si>
  <si>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</si>
  <si>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</si>
  <si>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</si>
  <si>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</si>
  <si>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</si>
  <si>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</si>
  <si>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</si>
  <si>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</si>
  <si>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</si>
  <si>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</si>
  <si>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</si>
  <si>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</si>
  <si>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</si>
  <si>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</si>
  <si>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</si>
  <si>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</si>
  <si>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</si>
  <si>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</si>
  <si>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</si>
  <si>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</si>
  <si>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</si>
  <si>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</si>
  <si>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</si>
  <si>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</si>
  <si>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</si>
  <si>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</si>
  <si>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</si>
  <si>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</si>
  <si>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</si>
  <si>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</si>
  <si>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</si>
  <si>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</si>
  <si>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</si>
  <si>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</si>
  <si>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</si>
  <si>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</si>
  <si>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</si>
  <si>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</si>
  <si>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</si>
  <si>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</si>
  <si>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</si>
  <si>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</si>
  <si>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</si>
  <si>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</si>
  <si>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</si>
  <si>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</si>
  <si>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</si>
  <si>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</si>
  <si>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</si>
  <si>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</si>
  <si>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</si>
  <si>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</si>
  <si>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</si>
  <si>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</si>
  <si>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</si>
  <si>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</si>
  <si>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</si>
  <si>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</si>
  <si>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</si>
  <si>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</si>
  <si>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</si>
  <si>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</si>
  <si>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</si>
  <si>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</si>
  <si>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</si>
  <si>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</si>
  <si>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</si>
  <si>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</si>
  <si>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</si>
  <si>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</si>
  <si>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</si>
  <si>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</si>
  <si>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</si>
  <si>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</si>
  <si>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</si>
  <si>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</si>
  <si>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</si>
  <si>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</si>
  <si>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</si>
  <si>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</si>
  <si>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</si>
  <si>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</si>
  <si>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</si>
  <si>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</si>
  <si>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</si>
  <si>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</si>
  <si>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</si>
  <si>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</si>
  <si>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</si>
  <si>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</si>
  <si>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</si>
  <si>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</si>
  <si>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</si>
  <si>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</si>
  <si>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</si>
  <si>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</si>
  <si>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</si>
  <si>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</si>
  <si>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</si>
  <si>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</si>
  <si>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</si>
  <si>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</si>
  <si>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</si>
  <si>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</si>
  <si>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</si>
  <si>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</si>
  <si>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</si>
  <si>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</si>
  <si>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</si>
  <si>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</si>
  <si>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</si>
  <si>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</si>
  <si>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</si>
  <si>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</si>
  <si>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</si>
  <si>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</si>
  <si>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</si>
  <si>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</si>
  <si>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</si>
  <si>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</si>
  <si>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</si>
  <si>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</si>
  <si>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</si>
  <si>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</si>
  <si>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</si>
  <si>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</si>
  <si>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</si>
  <si>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</si>
  <si>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</si>
  <si>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</si>
  <si>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</si>
  <si>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</si>
  <si>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</si>
  <si>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</si>
  <si>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</si>
  <si>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</si>
  <si>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</si>
  <si>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</si>
  <si>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</si>
  <si>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</si>
  <si>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</si>
  <si>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</si>
  <si>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</si>
  <si>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</si>
  <si>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</si>
  <si>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</si>
  <si>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</si>
  <si>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</si>
  <si>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</si>
  <si>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</si>
  <si>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</si>
  <si>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</si>
  <si>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</si>
  <si>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</si>
  <si>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</si>
  <si>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</si>
  <si>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</si>
  <si>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</si>
  <si>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</si>
  <si>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</si>
  <si>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</si>
  <si>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</si>
  <si>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</si>
  <si>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</si>
  <si>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</si>
  <si>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</si>
  <si>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</si>
  <si>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</si>
  <si>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</si>
  <si>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</si>
  <si>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</si>
  <si>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</si>
  <si>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</si>
  <si>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</si>
  <si>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</si>
  <si>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</si>
  <si>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</si>
  <si>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</si>
  <si>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</si>
  <si>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</si>
  <si>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</si>
  <si>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</si>
  <si>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</si>
  <si>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</si>
  <si>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</si>
  <si>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</si>
  <si>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</si>
  <si>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</si>
  <si>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</si>
  <si>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</si>
  <si>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</si>
  <si>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</si>
  <si>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</si>
  <si>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</si>
  <si>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</si>
  <si>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</si>
  <si>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</si>
  <si>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</si>
  <si>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</si>
  <si>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</si>
  <si>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</si>
  <si>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</si>
  <si>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</si>
  <si>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</si>
  <si>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</si>
  <si>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</si>
  <si>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</si>
  <si>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</si>
  <si>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</si>
  <si>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</si>
  <si>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</si>
  <si>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</si>
  <si>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</si>
  <si>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</si>
  <si>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</si>
  <si>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</si>
  <si>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</si>
  <si>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</si>
  <si>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</si>
  <si>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</si>
  <si>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</si>
  <si>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</si>
  <si>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</si>
  <si>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</si>
  <si>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</si>
  <si>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</si>
  <si>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</si>
  <si>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</si>
  <si>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</si>
  <si>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</si>
  <si>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</si>
  <si>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</si>
  <si>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</si>
  <si>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</si>
  <si>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</si>
  <si>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</si>
  <si>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</si>
  <si>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</si>
  <si>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</si>
  <si>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</si>
  <si>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</si>
  <si>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</si>
  <si>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</si>
  <si>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</si>
  <si>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</si>
  <si>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</si>
  <si>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</si>
  <si>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</si>
  <si>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</si>
  <si>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</si>
  <si>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</si>
  <si>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</si>
  <si>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</si>
  <si>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</si>
  <si>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</si>
  <si>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</si>
  <si>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</si>
  <si>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</si>
  <si>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</si>
  <si>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</si>
  <si>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</si>
  <si>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</si>
  <si>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</si>
  <si>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</si>
  <si>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</si>
  <si>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</si>
  <si>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</si>
  <si>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</si>
  <si>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</si>
  <si>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</si>
  <si>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</si>
  <si>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</si>
  <si>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</si>
  <si>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</si>
  <si>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</si>
  <si>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</si>
  <si>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</si>
  <si>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</si>
  <si>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</si>
  <si>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</si>
  <si>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</si>
  <si>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</si>
  <si>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</si>
  <si>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</si>
  <si>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</si>
  <si>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</si>
  <si>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</si>
  <si>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</si>
  <si>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</si>
  <si>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</si>
  <si>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</si>
  <si>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</si>
  <si>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</si>
  <si>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</si>
  <si>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</si>
  <si>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</si>
  <si>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</si>
  <si>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</si>
  <si>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</si>
  <si>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</si>
  <si>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</si>
  <si>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</si>
  <si>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</si>
  <si>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</si>
  <si>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</si>
  <si>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</si>
  <si>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</si>
  <si>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</si>
  <si>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</si>
  <si>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</si>
  <si>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</si>
  <si>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</si>
  <si>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</si>
  <si>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</si>
  <si>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</si>
  <si>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</si>
  <si>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</si>
  <si>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</si>
  <si>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</si>
  <si>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</si>
  <si>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</si>
  <si>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</si>
  <si>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</si>
  <si>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</si>
  <si>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</si>
  <si>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</si>
  <si>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</si>
  <si>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</si>
  <si>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</si>
  <si>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</si>
  <si>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</si>
  <si>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</si>
  <si>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</si>
  <si>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</si>
  <si>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</si>
  <si>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</si>
  <si>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</si>
  <si>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</si>
  <si>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</si>
  <si>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</si>
  <si>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</si>
  <si>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</si>
  <si>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</si>
  <si>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</si>
  <si>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</si>
  <si>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</si>
  <si>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</si>
  <si>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</si>
  <si>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</si>
  <si>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</si>
  <si>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</si>
  <si>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</si>
  <si>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</si>
  <si>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</si>
  <si>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</si>
  <si>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</si>
  <si>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</si>
  <si>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</si>
  <si>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</si>
  <si>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</si>
  <si>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</si>
  <si>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</si>
  <si>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</si>
  <si>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</si>
  <si>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</si>
  <si>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</si>
  <si>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</si>
  <si>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</si>
  <si>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</si>
  <si>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</si>
  <si>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</si>
  <si>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</si>
  <si>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</si>
  <si>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</si>
  <si>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</si>
  <si>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</si>
  <si>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</si>
  <si>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</si>
  <si>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</si>
  <si>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</si>
  <si>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</si>
  <si>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</si>
  <si>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</si>
  <si>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</si>
  <si>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</si>
  <si>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</si>
  <si>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</si>
  <si>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</si>
  <si>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</si>
  <si>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</si>
  <si>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</si>
  <si>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</si>
  <si>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</si>
  <si>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</si>
  <si>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</si>
  <si>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</si>
  <si>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</si>
  <si>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</si>
  <si>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</si>
  <si>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</si>
  <si>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</si>
  <si>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</si>
  <si>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</si>
  <si>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</si>
  <si>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</si>
  <si>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</si>
  <si>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</si>
  <si>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</si>
  <si>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</si>
  <si>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</si>
  <si>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</si>
  <si>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</si>
  <si>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</si>
  <si>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</si>
  <si>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</si>
  <si>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</si>
  <si>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</si>
  <si>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</si>
  <si>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</si>
  <si>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</si>
  <si>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</si>
  <si>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</si>
  <si>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</si>
  <si>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</si>
  <si>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</si>
  <si>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</si>
  <si>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</si>
  <si>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</si>
  <si>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</si>
  <si>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</si>
  <si>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</si>
  <si>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</si>
  <si>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</si>
  <si>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</si>
  <si>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</si>
  <si>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</si>
  <si>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</si>
  <si>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</si>
  <si>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</si>
  <si>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</si>
  <si>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</si>
  <si>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</si>
  <si>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</si>
  <si>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</si>
  <si>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</si>
  <si>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</si>
  <si>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</si>
  <si>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</si>
  <si>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</si>
  <si>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</si>
  <si>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</si>
  <si>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</si>
  <si>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</si>
  <si>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</si>
  <si>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</si>
  <si>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</si>
  <si>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</si>
  <si>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</si>
  <si>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</si>
  <si>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</si>
  <si>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</si>
  <si>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</si>
  <si>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</si>
  <si>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</si>
  <si>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</si>
  <si>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</si>
  <si>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</si>
  <si>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</si>
  <si>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</si>
  <si>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</si>
  <si>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</si>
  <si>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</si>
  <si>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</si>
  <si>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</si>
  <si>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</si>
  <si>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</si>
  <si>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</si>
  <si>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</si>
  <si>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</si>
  <si>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</si>
  <si>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</si>
  <si>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</si>
  <si>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</si>
  <si>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</si>
  <si>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</si>
  <si>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</si>
  <si>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</si>
  <si>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</si>
  <si>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</si>
  <si>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</si>
  <si>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</si>
  <si>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</si>
  <si>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</si>
  <si>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</si>
  <si>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</si>
  <si>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</si>
  <si>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</si>
  <si>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</si>
  <si>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</si>
  <si>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</si>
  <si>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</si>
  <si>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</si>
  <si>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</si>
  <si>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</si>
  <si>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</si>
  <si>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</si>
  <si>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</si>
  <si>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</si>
  <si>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</si>
  <si>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</si>
  <si>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</si>
  <si>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</si>
  <si>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</si>
  <si>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</si>
  <si>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</si>
  <si>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</si>
  <si>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</si>
  <si>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</si>
  <si>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</si>
  <si>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</si>
  <si>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</si>
  <si>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</si>
  <si>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</si>
  <si>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</si>
  <si>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</si>
  <si>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</si>
  <si>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</si>
  <si>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</si>
  <si>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</si>
  <si>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</si>
  <si>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</si>
  <si>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</si>
  <si>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</si>
  <si>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</si>
  <si>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</si>
  <si>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</si>
  <si>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</si>
  <si>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</si>
  <si>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</si>
  <si>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</si>
  <si>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</si>
  <si>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</si>
  <si>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</si>
  <si>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</si>
  <si>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</si>
  <si>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</si>
  <si>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</si>
  <si>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</si>
  <si>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</si>
  <si>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</si>
  <si>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</si>
  <si>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</si>
  <si>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</si>
  <si>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</si>
  <si>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</si>
  <si>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</si>
  <si>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</si>
  <si>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</si>
  <si>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</si>
  <si>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</si>
  <si>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</si>
  <si>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</si>
  <si>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</si>
  <si>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</si>
  <si>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</si>
  <si>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</si>
  <si>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</si>
  <si>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</si>
  <si>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</si>
  <si>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</si>
  <si>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</si>
  <si>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</si>
  <si>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</si>
  <si>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</si>
  <si>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</si>
  <si>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</si>
  <si>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</si>
  <si>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</si>
  <si>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</si>
  <si>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</si>
  <si>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</si>
  <si>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</si>
  <si>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</si>
  <si>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</si>
  <si>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</si>
  <si>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</si>
  <si>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</si>
  <si>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</si>
  <si>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</si>
  <si>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</si>
  <si>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</si>
  <si>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</si>
  <si>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</si>
  <si>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</si>
  <si>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</si>
  <si>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</si>
  <si>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</si>
  <si>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</si>
  <si>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</si>
  <si>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</si>
  <si>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</si>
  <si>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</si>
  <si>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</si>
  <si>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</si>
  <si>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</si>
  <si>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</si>
  <si>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</si>
  <si>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</si>
  <si>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</si>
  <si>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</si>
  <si>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</si>
  <si>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</si>
  <si>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</si>
  <si>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</si>
  <si>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</si>
  <si>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</si>
  <si>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</si>
  <si>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</si>
  <si>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</si>
  <si>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</si>
  <si>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</si>
  <si>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</si>
  <si>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</si>
  <si>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</si>
  <si>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</si>
  <si>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</si>
  <si>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</si>
  <si>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</si>
  <si>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</si>
  <si>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</si>
  <si>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</si>
  <si>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</si>
  <si>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</si>
  <si>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</si>
  <si>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</si>
  <si>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</si>
  <si>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</si>
  <si>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</si>
  <si>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</si>
  <si>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</si>
  <si>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</si>
  <si>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</si>
  <si>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</si>
  <si>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</si>
  <si>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</si>
  <si>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</si>
  <si>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</si>
  <si>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</si>
  <si>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</si>
  <si>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</si>
  <si>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</si>
  <si>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</si>
  <si>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</si>
  <si>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</si>
  <si>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</si>
  <si>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</si>
  <si>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</si>
  <si>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</si>
  <si>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</si>
  <si>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</si>
  <si>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</si>
  <si>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</si>
  <si>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</si>
  <si>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</si>
  <si>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</si>
  <si>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</si>
  <si>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</si>
  <si>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</si>
  <si>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</si>
  <si>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</si>
  <si>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</si>
  <si>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</si>
  <si>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</si>
  <si>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</si>
  <si>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</si>
  <si>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</si>
  <si>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</si>
  <si>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</si>
  <si>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</si>
  <si>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</si>
  <si>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</si>
  <si>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</si>
  <si>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</si>
  <si>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</si>
  <si>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</si>
  <si>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</si>
  <si>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</si>
  <si>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</si>
  <si>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</si>
  <si>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</si>
  <si>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</si>
  <si>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</si>
  <si>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</si>
  <si>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</si>
  <si>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</si>
  <si>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</si>
  <si>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</si>
  <si>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</si>
  <si>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</si>
  <si>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</si>
  <si>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</si>
  <si>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</si>
  <si>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</si>
  <si>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</si>
  <si>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</si>
  <si>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</si>
  <si>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</si>
  <si>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</si>
  <si>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</si>
  <si>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</si>
  <si>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</si>
  <si>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</si>
  <si>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</si>
  <si>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</si>
  <si>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</si>
  <si>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</si>
  <si>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</si>
  <si>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</si>
  <si>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</si>
  <si>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</si>
  <si>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</si>
  <si>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</si>
  <si>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</si>
  <si>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</si>
  <si>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</si>
  <si>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</si>
  <si>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</si>
  <si>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</si>
  <si>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</si>
  <si>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</si>
  <si>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</si>
  <si>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</si>
  <si>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</si>
  <si>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</si>
  <si>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</si>
  <si>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</si>
  <si>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</si>
  <si>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</si>
  <si>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</si>
  <si>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</si>
  <si>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</si>
  <si>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</si>
  <si>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</si>
  <si>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</si>
  <si>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</si>
  <si>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</si>
  <si>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</si>
  <si>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</si>
  <si>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</si>
  <si>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</si>
  <si>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</si>
  <si>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</si>
  <si>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</si>
  <si>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</si>
  <si>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</si>
  <si>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</si>
  <si>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</si>
  <si>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</si>
  <si>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</si>
  <si>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</si>
  <si>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</si>
  <si>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</si>
  <si>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</si>
  <si>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</si>
  <si>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</si>
  <si>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</si>
  <si>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</si>
  <si>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</si>
  <si>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</si>
  <si>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</si>
  <si>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</si>
  <si>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</si>
  <si>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</si>
  <si>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</si>
  <si>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</si>
  <si>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</si>
  <si>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</si>
  <si>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</si>
  <si>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</si>
  <si>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</si>
  <si>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</si>
  <si>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</si>
  <si>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</si>
  <si>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</si>
  <si>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</si>
  <si>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</si>
  <si>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</si>
  <si>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</si>
  <si>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</si>
  <si>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</si>
  <si>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</si>
  <si>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</si>
  <si>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</si>
  <si>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</si>
  <si>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</si>
  <si>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</si>
  <si>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</si>
  <si>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</si>
  <si>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</si>
  <si>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</si>
  <si>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</si>
  <si>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</si>
  <si>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</si>
  <si>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</si>
  <si>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</si>
  <si>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</si>
  <si>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</si>
  <si>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</si>
  <si>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</si>
  <si>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</si>
  <si>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</si>
  <si>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</si>
  <si>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</si>
  <si>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</si>
  <si>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</si>
  <si>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</si>
  <si>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</si>
  <si>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</si>
  <si>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</si>
  <si>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</si>
  <si>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</si>
  <si>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</si>
  <si>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</si>
  <si>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</si>
  <si>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</si>
  <si>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</si>
  <si>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</si>
  <si>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</si>
  <si>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</si>
  <si>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</si>
  <si>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</si>
  <si>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</si>
  <si>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</si>
  <si>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</si>
  <si>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</si>
  <si>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</si>
  <si>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</si>
  <si>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</si>
  <si>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</si>
  <si>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</si>
  <si>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</si>
  <si>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</si>
  <si>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</si>
  <si>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</si>
  <si>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</si>
  <si>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</si>
  <si>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</si>
  <si>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</si>
  <si>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</si>
  <si>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</si>
  <si>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</si>
  <si>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</si>
  <si>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</si>
  <si>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</si>
  <si>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</si>
  <si>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</si>
  <si>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</si>
  <si>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</si>
  <si>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</si>
  <si>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</si>
  <si>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</si>
  <si>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</si>
  <si>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</si>
  <si>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</si>
  <si>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</si>
  <si>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</si>
  <si>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</si>
  <si>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</si>
  <si>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</si>
  <si>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</si>
  <si>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</si>
  <si>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</si>
  <si>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</si>
  <si>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</si>
  <si>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</si>
  <si>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</si>
  <si>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</si>
  <si>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</si>
  <si>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</si>
  <si>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</si>
  <si>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</si>
  <si>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</si>
  <si>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</si>
  <si>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</si>
  <si>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</si>
  <si>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</si>
  <si>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</si>
  <si>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</si>
  <si>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</si>
  <si>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</si>
  <si>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</si>
  <si>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</si>
  <si>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</si>
  <si>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</si>
  <si>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</si>
  <si>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</si>
  <si>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</si>
  <si>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</si>
  <si>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</si>
  <si>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</si>
  <si>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</si>
  <si>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</si>
  <si>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</si>
  <si>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</si>
  <si>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</si>
  <si>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</si>
  <si>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</si>
  <si>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</si>
  <si>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</si>
  <si>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</si>
  <si>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</si>
  <si>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</si>
  <si>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</si>
  <si>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</si>
  <si>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</si>
  <si>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</si>
  <si>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</si>
  <si>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</si>
  <si>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</si>
  <si>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</si>
  <si>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</si>
  <si>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</si>
  <si>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</si>
  <si>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</si>
  <si>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</si>
  <si>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</si>
  <si>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</si>
  <si>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</si>
  <si>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</si>
  <si>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</si>
  <si>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</si>
  <si>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</si>
  <si>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</si>
  <si>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</si>
  <si>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</si>
  <si>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</si>
  <si>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</si>
  <si>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</si>
  <si>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</si>
  <si>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</si>
  <si>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</si>
  <si>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</si>
  <si>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</si>
  <si>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</si>
  <si>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</si>
  <si>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</si>
  <si>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</si>
  <si>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</si>
  <si>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</si>
  <si>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</si>
  <si>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</si>
  <si>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</si>
  <si>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</si>
  <si>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</si>
  <si>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</si>
  <si>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</si>
  <si>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</si>
  <si>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</si>
  <si>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</si>
  <si>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</si>
  <si>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</si>
  <si>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</si>
  <si>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</si>
  <si>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</si>
  <si>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</si>
  <si>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</si>
  <si>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</si>
  <si>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</si>
  <si>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</si>
  <si>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</si>
  <si>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</si>
  <si>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</si>
  <si>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</si>
  <si>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</si>
  <si>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</si>
  <si>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</si>
  <si>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</si>
  <si>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</si>
  <si>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</si>
  <si>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</si>
  <si>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</si>
  <si>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</si>
  <si>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</si>
  <si>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</si>
  <si>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</si>
  <si>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</si>
  <si>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</si>
  <si>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</si>
  <si>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</si>
  <si>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</si>
  <si>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</si>
  <si>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</si>
  <si>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</si>
  <si>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</si>
  <si>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</si>
  <si>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</si>
  <si>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</si>
  <si>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</si>
  <si>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</si>
  <si>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</si>
  <si>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</si>
  <si>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</si>
  <si>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</si>
  <si>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</si>
  <si>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</si>
  <si>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</si>
  <si>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</si>
  <si>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</si>
  <si>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</si>
  <si>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</si>
  <si>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</si>
  <si>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</si>
  <si>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</si>
  <si>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</si>
  <si>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</si>
  <si>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</si>
  <si>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</si>
  <si>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</si>
  <si>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</si>
  <si>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</si>
  <si>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</si>
  <si>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</si>
  <si>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</si>
  <si>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</si>
  <si>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</si>
  <si>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</si>
  <si>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</si>
  <si>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</si>
  <si>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</si>
  <si>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</si>
  <si>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</si>
  <si>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</si>
  <si>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</si>
  <si>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</si>
  <si>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</si>
  <si>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</si>
  <si>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</si>
  <si>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</si>
  <si>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</si>
  <si>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</si>
  <si>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</si>
  <si>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</si>
  <si>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</si>
  <si>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</si>
  <si>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</si>
  <si>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</si>
  <si>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</si>
  <si>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</si>
  <si>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</si>
  <si>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</si>
  <si>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</si>
  <si>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</si>
  <si>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</si>
  <si>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</si>
  <si>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</si>
  <si>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</si>
  <si>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</si>
  <si>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</si>
  <si>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</si>
  <si>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</si>
  <si>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</si>
  <si>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</si>
  <si>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</si>
  <si>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</si>
  <si>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</si>
  <si>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</si>
  <si>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</si>
  <si>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</si>
  <si>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</si>
  <si>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</si>
  <si>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</si>
  <si>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</si>
  <si>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</si>
  <si>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</si>
  <si>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</si>
  <si>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</si>
  <si>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</si>
  <si>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</si>
  <si>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</si>
  <si>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</si>
  <si>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</si>
  <si>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</si>
  <si>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</si>
  <si>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</si>
  <si>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</si>
  <si>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</si>
  <si>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</si>
  <si>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</si>
  <si>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</si>
  <si>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</si>
  <si>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</si>
  <si>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</si>
  <si>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</si>
  <si>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</si>
  <si>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</si>
  <si>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</si>
  <si>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</si>
  <si>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</si>
  <si>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</si>
  <si>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</si>
  <si>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</si>
  <si>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</si>
  <si>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</si>
  <si>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</si>
  <si>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</si>
  <si>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</si>
  <si>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</si>
  <si>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</si>
  <si>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</si>
  <si>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</si>
  <si>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</si>
  <si>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</si>
  <si>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</si>
  <si>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</si>
  <si>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</si>
  <si>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</si>
  <si>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</si>
  <si>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</si>
  <si>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</si>
  <si>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</si>
  <si>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</si>
  <si>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</si>
  <si>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</si>
  <si>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</si>
  <si>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</si>
  <si>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</si>
  <si>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</si>
  <si>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</si>
  <si>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</si>
  <si>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</si>
  <si>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</si>
  <si>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</si>
  <si>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</si>
  <si>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</si>
  <si>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</si>
  <si>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</si>
  <si>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</si>
  <si>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</si>
  <si>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</si>
  <si>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</si>
  <si>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</si>
  <si>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</si>
  <si>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</si>
  <si>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</si>
  <si>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</si>
  <si>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</si>
  <si>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</si>
  <si>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</si>
  <si>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</si>
  <si>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</si>
  <si>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</si>
  <si>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</si>
  <si>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</si>
  <si>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</si>
  <si>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</si>
  <si>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</si>
  <si>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</si>
  <si>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</si>
  <si>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</si>
  <si>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</si>
  <si>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</si>
  <si>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</si>
  <si>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</si>
  <si>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</si>
  <si>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</si>
  <si>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</si>
  <si>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</si>
  <si>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</si>
  <si>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</si>
  <si>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</si>
  <si>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</si>
  <si>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</si>
  <si>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</si>
  <si>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</si>
  <si>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</si>
  <si>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</si>
  <si>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</si>
  <si>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</si>
  <si>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</si>
  <si>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</si>
  <si>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</si>
  <si>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</si>
  <si>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</si>
  <si>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</si>
  <si>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</si>
  <si>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</si>
  <si>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</si>
  <si>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</si>
  <si>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</si>
  <si>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</si>
  <si>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</si>
  <si>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</si>
  <si>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</si>
  <si>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</si>
  <si>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</si>
  <si>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</si>
  <si>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</si>
  <si>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</si>
  <si>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</si>
  <si>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</si>
  <si>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</si>
  <si>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</si>
  <si>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</si>
  <si>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</si>
  <si>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</si>
  <si>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</si>
  <si>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</si>
  <si>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</si>
  <si>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</si>
  <si>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</si>
  <si>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</si>
  <si>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</si>
  <si>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</si>
  <si>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</si>
  <si>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</si>
  <si>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</si>
  <si>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</si>
  <si>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</si>
  <si>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</si>
  <si>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</si>
  <si>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</si>
  <si>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</si>
  <si>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</si>
  <si>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</si>
  <si>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</si>
  <si>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</si>
  <si>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</si>
  <si>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</si>
  <si>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</si>
  <si>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</si>
  <si>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</si>
  <si>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</si>
  <si>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</si>
  <si>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</si>
  <si>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</si>
  <si>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</si>
  <si>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</si>
  <si>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</si>
  <si>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</si>
  <si>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</si>
  <si>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</si>
  <si>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</si>
  <si>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</si>
  <si>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</si>
  <si>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</si>
  <si>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</si>
  <si>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</si>
  <si>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</si>
  <si>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</si>
  <si>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</si>
  <si>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</si>
  <si>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</si>
  <si>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</si>
  <si>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</si>
  <si>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</si>
  <si>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</si>
  <si>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</si>
  <si>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</si>
  <si>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</si>
  <si>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</si>
  <si>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</si>
  <si>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</si>
  <si>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</si>
  <si>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</si>
  <si>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</si>
  <si>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</si>
  <si>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</si>
  <si>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</si>
  <si>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</si>
  <si>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</si>
  <si>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</si>
  <si>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</si>
  <si>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</si>
  <si>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</si>
  <si>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</si>
  <si>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</si>
  <si>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</si>
  <si>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</si>
  <si>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</si>
  <si>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</si>
  <si>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</si>
  <si>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</si>
  <si>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</si>
  <si>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</si>
  <si>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</si>
  <si>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</si>
  <si>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</si>
  <si>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</si>
  <si>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</si>
  <si>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</si>
  <si>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</si>
  <si>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</si>
  <si>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</si>
  <si>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</si>
  <si>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</si>
  <si>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</si>
  <si>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</si>
  <si>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</si>
  <si>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</si>
  <si>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</si>
  <si>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</si>
  <si>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</si>
  <si>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</si>
  <si>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</si>
  <si>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</si>
  <si>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</si>
  <si>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</si>
  <si>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</si>
  <si>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</si>
  <si>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</si>
  <si>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</si>
  <si>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</si>
  <si>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</si>
  <si>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</si>
  <si>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</si>
  <si>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</si>
  <si>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</si>
  <si>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</si>
  <si>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</si>
  <si>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</si>
  <si>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</si>
  <si>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</si>
  <si>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</si>
  <si>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</si>
  <si>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</si>
  <si>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</si>
  <si>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</si>
  <si>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</si>
  <si>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</si>
  <si>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</si>
  <si>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</si>
  <si>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</si>
  <si>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</si>
  <si>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</si>
  <si>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</si>
  <si>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</si>
  <si>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</si>
  <si>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</si>
  <si>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</si>
  <si>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</si>
  <si>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</si>
  <si>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</si>
  <si>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</si>
  <si>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</si>
  <si>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</si>
  <si>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</si>
  <si>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</si>
  <si>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</si>
  <si>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</si>
  <si>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</si>
  <si>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</si>
  <si>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</si>
  <si>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</si>
  <si>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</si>
  <si>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</si>
  <si>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</si>
  <si>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</si>
  <si>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</si>
  <si>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</si>
  <si>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</si>
  <si>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</si>
  <si>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</si>
  <si>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</si>
  <si>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</si>
  <si>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</si>
  <si>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</si>
  <si>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</si>
  <si>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</si>
  <si>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</si>
  <si>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</si>
  <si>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</si>
  <si>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</si>
  <si>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</si>
  <si>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</si>
  <si>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</si>
  <si>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</si>
  <si>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</si>
  <si>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</si>
  <si>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</si>
  <si>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</si>
  <si>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</si>
  <si>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</si>
  <si>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</si>
  <si>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</si>
  <si>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</si>
  <si>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</si>
  <si>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</si>
  <si>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</si>
  <si>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</si>
  <si>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</si>
  <si>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</si>
  <si>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</si>
  <si>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</si>
  <si>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</si>
  <si>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</si>
  <si>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</si>
  <si>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</si>
  <si>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</si>
  <si>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</si>
  <si>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</si>
  <si>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</si>
  <si>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</si>
  <si>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</si>
  <si>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</si>
  <si>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</si>
  <si>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</si>
  <si>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</si>
  <si>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</si>
  <si>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</si>
  <si>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</si>
  <si>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</si>
  <si>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</si>
  <si>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</si>
  <si>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</si>
  <si>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</si>
  <si>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</si>
  <si>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</si>
  <si>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</si>
  <si>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</si>
  <si>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</si>
  <si>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</si>
  <si>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</si>
  <si>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</si>
  <si>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</si>
  <si>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</si>
  <si>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</si>
  <si>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</si>
  <si>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</si>
  <si>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</si>
  <si>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</si>
  <si>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</si>
  <si>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</si>
  <si>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</si>
  <si>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</si>
  <si>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</si>
  <si>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</si>
  <si>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</si>
  <si>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</si>
  <si>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</si>
  <si>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</si>
  <si>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</si>
  <si>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</si>
  <si>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</si>
  <si>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</si>
  <si>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</si>
  <si>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</si>
  <si>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</si>
  <si>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</si>
  <si>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</si>
  <si>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</si>
  <si>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</si>
  <si>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</si>
  <si>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</si>
  <si>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</si>
  <si>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</si>
  <si>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</si>
  <si>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</si>
  <si>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</si>
  <si>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</si>
  <si>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</si>
  <si>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</si>
  <si>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</si>
  <si>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</si>
  <si>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</si>
  <si>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</si>
  <si>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</si>
  <si>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</si>
  <si>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</si>
  <si>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</si>
  <si>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</si>
  <si>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</si>
  <si>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</si>
  <si>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</si>
  <si>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</si>
  <si>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</si>
  <si>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</si>
  <si>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</si>
  <si>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</si>
  <si>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</si>
  <si>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</si>
  <si>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</si>
  <si>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</si>
  <si>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</si>
  <si>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</si>
  <si>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</si>
  <si>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</si>
  <si>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</si>
  <si>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</si>
  <si>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</si>
  <si>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</si>
  <si>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</si>
  <si>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</si>
  <si>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</si>
  <si>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</si>
  <si>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</si>
  <si>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</si>
  <si>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</si>
  <si>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</si>
  <si>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</si>
  <si>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</si>
  <si>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</si>
  <si>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</si>
  <si>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</si>
  <si>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</si>
  <si>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</si>
  <si>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</si>
  <si>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</si>
  <si>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</si>
  <si>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</si>
  <si>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</si>
  <si>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</si>
  <si>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</si>
  <si>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</si>
  <si>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</si>
  <si>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</si>
  <si>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</si>
  <si>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</si>
  <si>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</si>
  <si>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</si>
  <si>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</si>
  <si>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</si>
  <si>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</si>
  <si>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</si>
  <si>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</si>
  <si>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</si>
  <si>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</si>
  <si>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</si>
  <si>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</si>
  <si>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</si>
  <si>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</si>
  <si>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</si>
  <si>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</si>
  <si>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</si>
  <si>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</si>
  <si>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</si>
  <si>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</si>
  <si>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</si>
  <si>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</si>
  <si>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</si>
  <si>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</si>
  <si>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</si>
  <si>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</si>
  <si>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</si>
  <si>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</si>
  <si>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</si>
  <si>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</si>
  <si>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</si>
  <si>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</si>
  <si>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</si>
  <si>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</si>
  <si>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</si>
  <si>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</si>
  <si>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</si>
  <si>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</si>
  <si>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</si>
  <si>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</si>
  <si>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</si>
  <si>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</si>
  <si>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</si>
  <si>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</si>
  <si>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</si>
  <si>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</si>
  <si>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</si>
  <si>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</si>
  <si>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</si>
  <si>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</si>
  <si>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</si>
  <si>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</si>
  <si>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</si>
  <si>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</si>
  <si>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</si>
  <si>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</si>
  <si>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</si>
  <si>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</si>
  <si>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</si>
  <si>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</si>
  <si>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</si>
  <si>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</si>
  <si>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</si>
  <si>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</si>
  <si>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</si>
  <si>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</si>
  <si>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</si>
  <si>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</si>
  <si>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</si>
  <si>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</si>
  <si>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</si>
  <si>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</si>
  <si>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</si>
  <si>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</si>
  <si>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</si>
  <si>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</si>
  <si>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</si>
  <si>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</si>
  <si>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</si>
  <si>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</si>
  <si>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</si>
  <si>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</si>
  <si>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</si>
  <si>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</si>
  <si>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</si>
  <si>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</si>
  <si>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</si>
  <si>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</si>
  <si>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</si>
  <si>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</si>
  <si>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</si>
  <si>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</si>
  <si>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</si>
  <si>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</si>
  <si>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</si>
  <si>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</si>
  <si>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</si>
  <si>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</si>
  <si>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</si>
  <si>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</si>
  <si>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</si>
  <si>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</si>
  <si>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</si>
  <si>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</si>
  <si>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</si>
  <si>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</si>
  <si>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</si>
  <si>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</si>
  <si>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</si>
  <si>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</si>
  <si>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</si>
  <si>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</si>
  <si>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</si>
  <si>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</si>
  <si>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</si>
  <si>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</si>
  <si>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</si>
  <si>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</si>
  <si>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</si>
  <si>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</si>
  <si>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</si>
  <si>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</si>
  <si>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</si>
  <si>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</si>
  <si>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</si>
  <si>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</si>
  <si>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</si>
  <si>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</si>
  <si>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</si>
  <si>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</si>
  <si>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</si>
  <si>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</si>
  <si>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</si>
  <si>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</si>
  <si>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</si>
  <si>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</si>
  <si>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</si>
  <si>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</si>
  <si>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</si>
  <si>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</si>
  <si>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</si>
  <si>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</si>
  <si>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</si>
  <si>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</si>
  <si>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</si>
  <si>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</si>
  <si>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</si>
  <si>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</si>
  <si>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</si>
  <si>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</si>
  <si>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</si>
  <si>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</si>
  <si>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</si>
  <si>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</si>
  <si>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</si>
  <si>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</si>
  <si>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</si>
  <si>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</si>
  <si>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</si>
  <si>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</si>
  <si>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</si>
  <si>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</si>
  <si>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</si>
  <si>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</si>
  <si>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</si>
  <si>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</si>
  <si>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</si>
  <si>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</si>
  <si>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</si>
  <si>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</si>
  <si>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</si>
  <si>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</si>
  <si>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</si>
  <si>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</si>
  <si>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</si>
  <si>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</si>
  <si>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</si>
  <si>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</si>
  <si>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</si>
  <si>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</si>
  <si>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</si>
  <si>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</si>
  <si>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</si>
  <si>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</si>
  <si>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</si>
  <si>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</si>
  <si>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</si>
  <si>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</si>
  <si>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</si>
  <si>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</si>
  <si>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</si>
  <si>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</si>
  <si>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</si>
  <si>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</si>
  <si>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</si>
  <si>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</si>
  <si>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</si>
  <si>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</si>
  <si>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</si>
  <si>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</si>
  <si>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</si>
  <si>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</si>
  <si>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</si>
  <si>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</si>
  <si>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</si>
  <si>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</si>
  <si>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</si>
  <si>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</si>
  <si>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</si>
  <si>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</si>
  <si>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</si>
  <si>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</si>
  <si>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</si>
  <si>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</si>
  <si>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</si>
  <si>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</si>
  <si>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</si>
  <si>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</si>
  <si>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</si>
  <si>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</si>
  <si>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</si>
  <si>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</si>
  <si>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</si>
  <si>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</si>
  <si>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</si>
  <si>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</si>
  <si>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</si>
  <si>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</si>
  <si>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</si>
  <si>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</si>
  <si>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</si>
  <si>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</si>
  <si>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</si>
  <si>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</si>
  <si>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</si>
  <si>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</si>
  <si>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</si>
  <si>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</si>
  <si>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</si>
  <si>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</si>
  <si>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</si>
  <si>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</si>
  <si>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</si>
  <si>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</si>
  <si>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</si>
  <si>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</si>
  <si>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</si>
  <si>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</si>
  <si>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</si>
  <si>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</si>
  <si>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</si>
  <si>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</si>
  <si>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</si>
  <si>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</si>
  <si>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</si>
  <si>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</si>
  <si>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</si>
  <si>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</si>
  <si>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</si>
  <si>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</si>
  <si>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</si>
  <si>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</si>
  <si>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</si>
  <si>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</si>
  <si>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</si>
  <si>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</si>
  <si>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</si>
  <si>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</si>
  <si>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</si>
  <si>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</si>
  <si>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</si>
  <si>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</si>
  <si>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</si>
  <si>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</si>
  <si>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</si>
  <si>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</si>
  <si>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</si>
  <si>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</si>
  <si>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</si>
  <si>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</si>
  <si>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</si>
  <si>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</si>
  <si>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</si>
  <si>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</si>
  <si>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</si>
  <si>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</si>
  <si>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</si>
  <si>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</si>
  <si>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</si>
  <si>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</si>
  <si>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</si>
  <si>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</si>
  <si>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</si>
  <si>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</si>
  <si>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</si>
  <si>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</si>
  <si>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 xml:space="preserve">پارس </t>
  </si>
  <si>
    <t>زقیام</t>
  </si>
  <si>
    <t>پ</t>
  </si>
  <si>
    <t>23/4/1397</t>
  </si>
  <si>
    <t>خرید گوشت از تره بار</t>
  </si>
  <si>
    <t>سهم علی از زبینا 26/4</t>
  </si>
  <si>
    <t>26/4/1397</t>
  </si>
  <si>
    <t>زقیام 700 تا 236.9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</si>
  <si>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</si>
  <si>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</si>
  <si>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</si>
  <si>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</si>
  <si>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</si>
  <si>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</si>
  <si>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</si>
  <si>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</si>
  <si>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</si>
  <si>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</si>
  <si>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</si>
  <si>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</si>
  <si>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</si>
  <si>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</si>
  <si>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</si>
  <si>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</si>
  <si>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</si>
  <si>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</si>
  <si>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</si>
  <si>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سود پارس</t>
  </si>
  <si>
    <t>ضرر خرید و فروش شفن</t>
  </si>
  <si>
    <t>1/5/1397</t>
  </si>
  <si>
    <t>پارس 9246 تا 2579</t>
  </si>
  <si>
    <t>سهم علی از عرضه اولیه پارس خودش و نصف داریوش</t>
  </si>
  <si>
    <t>پارس 1898 تا در بورس علی و 949 در بورس داریوش 2579 سود عرضه اولیه را از مریم کم کردم</t>
  </si>
  <si>
    <t>پارس 7034 تا 2517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</si>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</sst>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opLeftCell="A33" workbookViewId="0">
      <selection activeCell="E32" sqref="E32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4.85546875" bestFit="1" customWidth="1"/>
    <col min="5" max="5" width="44.140625" bestFit="1" customWidth="1"/>
    <col min="6" max="6" width="18.85546875" bestFit="1" customWidth="1"/>
    <col min="7" max="7" width="14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3976</v>
      </c>
      <c r="B3" s="18">
        <v>0</v>
      </c>
      <c r="C3" s="18">
        <v>0</v>
      </c>
      <c r="D3" s="123">
        <f t="shared" ref="D3:D22" si="0">B3-C3</f>
        <v>0</v>
      </c>
      <c r="E3" s="20"/>
      <c r="F3" s="102">
        <v>7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3981</v>
      </c>
      <c r="B4" s="18">
        <v>0</v>
      </c>
      <c r="C4" s="18">
        <v>0</v>
      </c>
      <c r="D4" s="119">
        <f t="shared" si="0"/>
        <v>0</v>
      </c>
      <c r="E4" s="105"/>
      <c r="F4" s="102">
        <v>7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1859910</v>
      </c>
      <c r="H25" s="18">
        <f>SUM(H2:H23)</f>
        <v>235063290</v>
      </c>
      <c r="I25" s="18">
        <f>SUM(I2:I23)</f>
        <v>-233203380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75830.53696146587</v>
      </c>
      <c r="I30" s="18">
        <f>G30*I25/G25</f>
        <v>-75230.53696146587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>
      <c r="A31" s="102"/>
      <c r="B31" s="102"/>
      <c r="C31" s="102"/>
      <c r="D31" s="42">
        <v>39030</v>
      </c>
      <c r="E31" s="54" t="s">
        <v>4030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32000</v>
      </c>
      <c r="E32" s="41" t="s">
        <v>4031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/>
      <c r="E33" s="41"/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/>
      <c r="E34" s="41"/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/>
      <c r="E35" s="41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/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/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/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/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/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/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/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/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/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/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/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/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/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>
      <c r="A49" s="102"/>
      <c r="B49" s="102"/>
      <c r="C49" s="102"/>
      <c r="D49" s="120"/>
      <c r="E49" s="54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/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/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/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/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/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/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/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20">
        <f>SUM(D30:D62)</f>
        <v>2607054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F173" sqref="F173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834</v>
      </c>
      <c r="H2" s="36">
        <f>IF(B2&gt;0,1,0)</f>
        <v>1</v>
      </c>
      <c r="I2" s="11">
        <f>B2*(G2-H2)</f>
        <v>13911100</v>
      </c>
      <c r="J2" s="53">
        <f>C2*(G2-H2)</f>
        <v>13911100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833</v>
      </c>
      <c r="H3" s="36">
        <f t="shared" ref="H3:H66" si="2">IF(B3&gt;0,1,0)</f>
        <v>1</v>
      </c>
      <c r="I3" s="11">
        <f t="shared" ref="I3:I66" si="3">B3*(G3-H3)</f>
        <v>16556800000</v>
      </c>
      <c r="J3" s="53">
        <f t="shared" ref="J3:J66" si="4">C3*(G3-H3)</f>
        <v>9473984000</v>
      </c>
      <c r="K3" s="53">
        <f t="shared" ref="K3:K66" si="5">D3*(G3-H3)</f>
        <v>7082816000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833</v>
      </c>
      <c r="H4" s="36">
        <f t="shared" si="2"/>
        <v>0</v>
      </c>
      <c r="I4" s="11">
        <f t="shared" si="3"/>
        <v>0</v>
      </c>
      <c r="J4" s="53">
        <f t="shared" si="4"/>
        <v>7080500</v>
      </c>
      <c r="K4" s="53">
        <f t="shared" si="5"/>
        <v>-7080500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831</v>
      </c>
      <c r="H5" s="36">
        <f t="shared" si="2"/>
        <v>1</v>
      </c>
      <c r="I5" s="11">
        <f t="shared" si="3"/>
        <v>1660000000</v>
      </c>
      <c r="J5" s="53">
        <f t="shared" si="4"/>
        <v>0</v>
      </c>
      <c r="K5" s="53">
        <f t="shared" si="5"/>
        <v>1660000000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824</v>
      </c>
      <c r="H6" s="36">
        <f t="shared" si="2"/>
        <v>0</v>
      </c>
      <c r="I6" s="11">
        <f t="shared" si="3"/>
        <v>-4120000</v>
      </c>
      <c r="J6" s="53">
        <f t="shared" si="4"/>
        <v>0</v>
      </c>
      <c r="K6" s="53">
        <f t="shared" si="5"/>
        <v>-4120000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820</v>
      </c>
      <c r="H7" s="36">
        <f t="shared" si="2"/>
        <v>0</v>
      </c>
      <c r="I7" s="11">
        <f t="shared" si="3"/>
        <v>-984410000</v>
      </c>
      <c r="J7" s="53">
        <f t="shared" si="4"/>
        <v>0</v>
      </c>
      <c r="K7" s="53">
        <f t="shared" si="5"/>
        <v>-984410000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819</v>
      </c>
      <c r="H8" s="36">
        <f t="shared" si="2"/>
        <v>0</v>
      </c>
      <c r="I8" s="11">
        <f t="shared" si="3"/>
        <v>-163800000</v>
      </c>
      <c r="J8" s="53">
        <f t="shared" si="4"/>
        <v>0</v>
      </c>
      <c r="K8" s="53">
        <f t="shared" si="5"/>
        <v>-163800000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817</v>
      </c>
      <c r="H9" s="36">
        <f t="shared" si="2"/>
        <v>0</v>
      </c>
      <c r="I9" s="11">
        <f t="shared" si="3"/>
        <v>-576393500</v>
      </c>
      <c r="J9" s="53">
        <f t="shared" si="4"/>
        <v>0</v>
      </c>
      <c r="K9" s="53">
        <f t="shared" si="5"/>
        <v>-576393500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808</v>
      </c>
      <c r="H10" s="36">
        <f t="shared" si="2"/>
        <v>0</v>
      </c>
      <c r="I10" s="11">
        <f t="shared" si="3"/>
        <v>-161600000</v>
      </c>
      <c r="J10" s="53">
        <f t="shared" si="4"/>
        <v>0</v>
      </c>
      <c r="K10" s="53">
        <f t="shared" si="5"/>
        <v>-161600000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808</v>
      </c>
      <c r="H11" s="36">
        <f t="shared" si="2"/>
        <v>1</v>
      </c>
      <c r="I11" s="11">
        <f t="shared" si="3"/>
        <v>807000000</v>
      </c>
      <c r="J11" s="53">
        <f t="shared" si="4"/>
        <v>0</v>
      </c>
      <c r="K11" s="53">
        <f t="shared" si="5"/>
        <v>807000000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804</v>
      </c>
      <c r="H12" s="36">
        <f t="shared" si="2"/>
        <v>0</v>
      </c>
      <c r="I12" s="11">
        <f t="shared" si="3"/>
        <v>-241200000</v>
      </c>
      <c r="J12" s="53">
        <f t="shared" si="4"/>
        <v>0</v>
      </c>
      <c r="K12" s="53">
        <f t="shared" si="5"/>
        <v>-241200000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799</v>
      </c>
      <c r="H13" s="36">
        <f t="shared" si="2"/>
        <v>0</v>
      </c>
      <c r="I13" s="11">
        <f t="shared" si="3"/>
        <v>-49538000</v>
      </c>
      <c r="J13" s="53">
        <f t="shared" si="4"/>
        <v>0</v>
      </c>
      <c r="K13" s="53">
        <f t="shared" si="5"/>
        <v>-49538000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799</v>
      </c>
      <c r="H14" s="36">
        <f t="shared" si="2"/>
        <v>1</v>
      </c>
      <c r="I14" s="11">
        <f t="shared" si="3"/>
        <v>1596000000</v>
      </c>
      <c r="J14" s="53">
        <f t="shared" si="4"/>
        <v>0</v>
      </c>
      <c r="K14" s="53">
        <f t="shared" si="5"/>
        <v>1596000000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798</v>
      </c>
      <c r="H15" s="36">
        <f t="shared" si="2"/>
        <v>1</v>
      </c>
      <c r="I15" s="11">
        <f t="shared" si="3"/>
        <v>1434600000</v>
      </c>
      <c r="J15" s="53">
        <f t="shared" si="4"/>
        <v>0</v>
      </c>
      <c r="K15" s="53">
        <f t="shared" si="5"/>
        <v>1434600000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798</v>
      </c>
      <c r="H16" s="36">
        <f t="shared" si="2"/>
        <v>0</v>
      </c>
      <c r="I16" s="11">
        <f t="shared" si="3"/>
        <v>-159600000</v>
      </c>
      <c r="J16" s="53">
        <f t="shared" si="4"/>
        <v>0</v>
      </c>
      <c r="K16" s="53">
        <f t="shared" si="5"/>
        <v>-159600000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794</v>
      </c>
      <c r="H17" s="36">
        <f t="shared" si="2"/>
        <v>0</v>
      </c>
      <c r="I17" s="11">
        <f t="shared" si="3"/>
        <v>-1588000000</v>
      </c>
      <c r="J17" s="53">
        <f t="shared" si="4"/>
        <v>0</v>
      </c>
      <c r="K17" s="53">
        <f t="shared" si="5"/>
        <v>-1588000000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793</v>
      </c>
      <c r="H18" s="36">
        <f t="shared" si="2"/>
        <v>0</v>
      </c>
      <c r="I18" s="11">
        <f t="shared" si="3"/>
        <v>-237900000</v>
      </c>
      <c r="J18" s="53">
        <f t="shared" si="4"/>
        <v>0</v>
      </c>
      <c r="K18" s="53">
        <f t="shared" si="5"/>
        <v>-237900000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792</v>
      </c>
      <c r="H19" s="36">
        <f t="shared" si="2"/>
        <v>0</v>
      </c>
      <c r="I19" s="11">
        <f t="shared" si="3"/>
        <v>-158400000</v>
      </c>
      <c r="J19" s="53">
        <f t="shared" si="4"/>
        <v>0</v>
      </c>
      <c r="K19" s="53">
        <f t="shared" si="5"/>
        <v>-158400000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790</v>
      </c>
      <c r="H20" s="36">
        <f t="shared" si="2"/>
        <v>1</v>
      </c>
      <c r="I20" s="11">
        <f t="shared" si="3"/>
        <v>213889221</v>
      </c>
      <c r="J20" s="53">
        <f t="shared" si="4"/>
        <v>116339628</v>
      </c>
      <c r="K20" s="53">
        <f t="shared" si="5"/>
        <v>97549593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788</v>
      </c>
      <c r="H21" s="36">
        <f t="shared" si="2"/>
        <v>0</v>
      </c>
      <c r="I21" s="11">
        <f t="shared" si="3"/>
        <v>-1186491600</v>
      </c>
      <c r="J21" s="53">
        <f t="shared" si="4"/>
        <v>0</v>
      </c>
      <c r="K21" s="53">
        <f t="shared" si="5"/>
        <v>-1186491600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785</v>
      </c>
      <c r="H22" s="36">
        <f t="shared" si="2"/>
        <v>1</v>
      </c>
      <c r="I22" s="11">
        <f t="shared" si="3"/>
        <v>2352000000</v>
      </c>
      <c r="J22" s="53">
        <f t="shared" si="4"/>
        <v>0</v>
      </c>
      <c r="K22" s="53">
        <f t="shared" si="5"/>
        <v>2352000000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784</v>
      </c>
      <c r="H23" s="36">
        <f t="shared" si="2"/>
        <v>1</v>
      </c>
      <c r="I23" s="11">
        <f t="shared" si="3"/>
        <v>783000000</v>
      </c>
      <c r="J23" s="53">
        <f t="shared" si="4"/>
        <v>0</v>
      </c>
      <c r="K23" s="53">
        <f t="shared" si="5"/>
        <v>783000000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783</v>
      </c>
      <c r="H24" s="36">
        <f t="shared" si="2"/>
        <v>0</v>
      </c>
      <c r="I24" s="11">
        <f t="shared" si="3"/>
        <v>-2349704700</v>
      </c>
      <c r="J24" s="53">
        <f t="shared" si="4"/>
        <v>0</v>
      </c>
      <c r="K24" s="53">
        <f t="shared" si="5"/>
        <v>-2349704700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768</v>
      </c>
      <c r="H25" s="36">
        <f t="shared" si="2"/>
        <v>1</v>
      </c>
      <c r="I25" s="11">
        <f t="shared" si="3"/>
        <v>1150500000</v>
      </c>
      <c r="J25" s="53">
        <f t="shared" si="4"/>
        <v>0</v>
      </c>
      <c r="K25" s="53">
        <f t="shared" si="5"/>
        <v>1150500000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760</v>
      </c>
      <c r="H26" s="36">
        <f t="shared" si="2"/>
        <v>0</v>
      </c>
      <c r="I26" s="11">
        <f t="shared" si="3"/>
        <v>-124640000</v>
      </c>
      <c r="J26" s="53">
        <f t="shared" si="4"/>
        <v>0</v>
      </c>
      <c r="K26" s="53">
        <f t="shared" si="5"/>
        <v>-124640000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759</v>
      </c>
      <c r="H27" s="36">
        <f t="shared" si="2"/>
        <v>1</v>
      </c>
      <c r="I27" s="11">
        <f t="shared" si="3"/>
        <v>151139894</v>
      </c>
      <c r="J27" s="53">
        <f t="shared" si="4"/>
        <v>81419054</v>
      </c>
      <c r="K27" s="53">
        <f t="shared" si="5"/>
        <v>69720840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757</v>
      </c>
      <c r="H28" s="36">
        <f t="shared" si="2"/>
        <v>0</v>
      </c>
      <c r="I28" s="11">
        <f t="shared" si="3"/>
        <v>-167297000</v>
      </c>
      <c r="J28" s="53">
        <f t="shared" si="4"/>
        <v>-167297000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757</v>
      </c>
      <c r="H29" s="36">
        <f t="shared" si="2"/>
        <v>0</v>
      </c>
      <c r="I29" s="11">
        <f t="shared" si="3"/>
        <v>-378878500</v>
      </c>
      <c r="J29" s="53">
        <f t="shared" si="4"/>
        <v>0</v>
      </c>
      <c r="K29" s="53">
        <f t="shared" si="5"/>
        <v>-378878500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757</v>
      </c>
      <c r="H30" s="36">
        <f t="shared" si="2"/>
        <v>0</v>
      </c>
      <c r="I30" s="11">
        <f t="shared" si="3"/>
        <v>-11355000000</v>
      </c>
      <c r="J30" s="53">
        <f t="shared" si="4"/>
        <v>-11355000000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740</v>
      </c>
      <c r="H31" s="36">
        <f t="shared" si="2"/>
        <v>0</v>
      </c>
      <c r="I31" s="11">
        <f t="shared" si="3"/>
        <v>-2228066000</v>
      </c>
      <c r="J31" s="53">
        <f t="shared" si="4"/>
        <v>0</v>
      </c>
      <c r="K31" s="53">
        <f t="shared" si="5"/>
        <v>-2228066000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738</v>
      </c>
      <c r="H32" s="36">
        <f t="shared" si="2"/>
        <v>0</v>
      </c>
      <c r="I32" s="11">
        <f t="shared" si="3"/>
        <v>-2218354200</v>
      </c>
      <c r="J32" s="53">
        <f t="shared" si="4"/>
        <v>0</v>
      </c>
      <c r="K32" s="53">
        <f t="shared" si="5"/>
        <v>-2218354200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737</v>
      </c>
      <c r="H33" s="36">
        <f t="shared" si="2"/>
        <v>0</v>
      </c>
      <c r="I33" s="11">
        <f t="shared" si="3"/>
        <v>-659983500</v>
      </c>
      <c r="J33" s="53">
        <f t="shared" si="4"/>
        <v>0</v>
      </c>
      <c r="K33" s="53">
        <f t="shared" si="5"/>
        <v>-659983500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737</v>
      </c>
      <c r="H34" s="36">
        <f t="shared" si="2"/>
        <v>0</v>
      </c>
      <c r="I34" s="11">
        <f t="shared" si="3"/>
        <v>0</v>
      </c>
      <c r="J34" s="53">
        <f t="shared" si="4"/>
        <v>737000000</v>
      </c>
      <c r="K34" s="53">
        <f t="shared" si="5"/>
        <v>-737000000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728</v>
      </c>
      <c r="H35" s="36">
        <f t="shared" si="2"/>
        <v>1</v>
      </c>
      <c r="I35" s="11">
        <f t="shared" si="3"/>
        <v>38147144</v>
      </c>
      <c r="J35" s="53">
        <f t="shared" si="4"/>
        <v>-15749001</v>
      </c>
      <c r="K35" s="53">
        <f t="shared" si="5"/>
        <v>53896145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728</v>
      </c>
      <c r="H36" s="36">
        <f t="shared" si="2"/>
        <v>0</v>
      </c>
      <c r="I36" s="11">
        <f t="shared" si="3"/>
        <v>0</v>
      </c>
      <c r="J36" s="53">
        <f t="shared" si="4"/>
        <v>15770664</v>
      </c>
      <c r="K36" s="53">
        <f t="shared" si="5"/>
        <v>-15770664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718</v>
      </c>
      <c r="H37" s="36">
        <f t="shared" si="2"/>
        <v>0</v>
      </c>
      <c r="I37" s="11">
        <f t="shared" si="3"/>
        <v>-39490000</v>
      </c>
      <c r="J37" s="53">
        <f t="shared" si="4"/>
        <v>0</v>
      </c>
      <c r="K37" s="53">
        <f t="shared" si="5"/>
        <v>-39490000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717</v>
      </c>
      <c r="H38" s="36">
        <f t="shared" si="2"/>
        <v>1</v>
      </c>
      <c r="I38" s="11">
        <f t="shared" si="3"/>
        <v>2148000000</v>
      </c>
      <c r="J38" s="53">
        <f t="shared" si="4"/>
        <v>2148000000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716</v>
      </c>
      <c r="H39" s="36">
        <f t="shared" si="2"/>
        <v>1</v>
      </c>
      <c r="I39" s="11">
        <f t="shared" si="3"/>
        <v>1787500000</v>
      </c>
      <c r="J39" s="53">
        <f t="shared" si="4"/>
        <v>1787500000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716</v>
      </c>
      <c r="H40" s="36">
        <f t="shared" si="2"/>
        <v>0</v>
      </c>
      <c r="I40" s="11">
        <f t="shared" si="3"/>
        <v>-35800000</v>
      </c>
      <c r="J40" s="53">
        <f t="shared" si="4"/>
        <v>0</v>
      </c>
      <c r="K40" s="53">
        <f t="shared" si="5"/>
        <v>-35800000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716</v>
      </c>
      <c r="H41" s="36">
        <f t="shared" si="2"/>
        <v>1</v>
      </c>
      <c r="I41" s="11">
        <f t="shared" si="3"/>
        <v>2145000000</v>
      </c>
      <c r="J41" s="53">
        <f t="shared" si="4"/>
        <v>0</v>
      </c>
      <c r="K41" s="53">
        <f t="shared" si="5"/>
        <v>2145000000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713</v>
      </c>
      <c r="H42" s="36">
        <f t="shared" si="2"/>
        <v>0</v>
      </c>
      <c r="I42" s="11">
        <f t="shared" si="3"/>
        <v>-63599600</v>
      </c>
      <c r="J42" s="53">
        <f t="shared" si="4"/>
        <v>0</v>
      </c>
      <c r="K42" s="53">
        <f t="shared" si="5"/>
        <v>-63599600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709</v>
      </c>
      <c r="H43" s="36">
        <f t="shared" si="2"/>
        <v>0</v>
      </c>
      <c r="I43" s="11">
        <f t="shared" si="3"/>
        <v>-141800000</v>
      </c>
      <c r="J43" s="53">
        <f t="shared" si="4"/>
        <v>0</v>
      </c>
      <c r="K43" s="53">
        <f t="shared" si="5"/>
        <v>-141800000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707</v>
      </c>
      <c r="H44" s="36">
        <f t="shared" si="2"/>
        <v>0</v>
      </c>
      <c r="I44" s="11">
        <f t="shared" si="3"/>
        <v>-141400000</v>
      </c>
      <c r="J44" s="53">
        <f t="shared" si="4"/>
        <v>0</v>
      </c>
      <c r="K44" s="53">
        <f t="shared" si="5"/>
        <v>-141400000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707</v>
      </c>
      <c r="H45" s="36">
        <f t="shared" si="2"/>
        <v>0</v>
      </c>
      <c r="I45" s="11">
        <f t="shared" si="3"/>
        <v>-395920000</v>
      </c>
      <c r="J45" s="53">
        <f t="shared" si="4"/>
        <v>0</v>
      </c>
      <c r="K45" s="53">
        <f t="shared" si="5"/>
        <v>-395920000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703</v>
      </c>
      <c r="H46" s="36">
        <f t="shared" si="2"/>
        <v>0</v>
      </c>
      <c r="I46" s="11">
        <f t="shared" si="3"/>
        <v>-495966500</v>
      </c>
      <c r="J46" s="53">
        <f t="shared" si="4"/>
        <v>0</v>
      </c>
      <c r="K46" s="53">
        <f t="shared" si="5"/>
        <v>-495966500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697</v>
      </c>
      <c r="H47" s="36">
        <f t="shared" si="2"/>
        <v>1</v>
      </c>
      <c r="I47" s="11">
        <f t="shared" si="3"/>
        <v>28677984</v>
      </c>
      <c r="J47" s="53">
        <f t="shared" si="4"/>
        <v>4672248</v>
      </c>
      <c r="K47" s="53">
        <f t="shared" si="5"/>
        <v>24005736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697</v>
      </c>
      <c r="H48" s="36">
        <f t="shared" si="2"/>
        <v>1</v>
      </c>
      <c r="I48" s="11">
        <f t="shared" si="3"/>
        <v>1186471200</v>
      </c>
      <c r="J48" s="53">
        <f t="shared" si="4"/>
        <v>0</v>
      </c>
      <c r="K48" s="53">
        <f t="shared" si="5"/>
        <v>1186471200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688</v>
      </c>
      <c r="H49" s="36">
        <f t="shared" si="2"/>
        <v>0</v>
      </c>
      <c r="I49" s="11">
        <f t="shared" si="3"/>
        <v>-106640000</v>
      </c>
      <c r="J49" s="53">
        <f t="shared" si="4"/>
        <v>0</v>
      </c>
      <c r="K49" s="53">
        <f t="shared" si="5"/>
        <v>-106640000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688</v>
      </c>
      <c r="H50" s="36">
        <f t="shared" si="2"/>
        <v>0</v>
      </c>
      <c r="I50" s="11">
        <f t="shared" si="3"/>
        <v>-94944000</v>
      </c>
      <c r="J50" s="53">
        <f t="shared" si="4"/>
        <v>0</v>
      </c>
      <c r="K50" s="53">
        <f t="shared" si="5"/>
        <v>-94944000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688</v>
      </c>
      <c r="H51" s="36">
        <f t="shared" si="2"/>
        <v>0</v>
      </c>
      <c r="I51" s="11">
        <f t="shared" si="3"/>
        <v>-509120000</v>
      </c>
      <c r="J51" s="53">
        <f t="shared" si="4"/>
        <v>0</v>
      </c>
      <c r="K51" s="53">
        <f t="shared" si="5"/>
        <v>-509120000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688</v>
      </c>
      <c r="H52" s="36">
        <f t="shared" si="2"/>
        <v>0</v>
      </c>
      <c r="I52" s="11">
        <f t="shared" si="3"/>
        <v>-137600000</v>
      </c>
      <c r="J52" s="53">
        <f t="shared" si="4"/>
        <v>0</v>
      </c>
      <c r="K52" s="53">
        <f t="shared" si="5"/>
        <v>-137600000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687</v>
      </c>
      <c r="H53" s="36">
        <f t="shared" si="2"/>
        <v>0</v>
      </c>
      <c r="I53" s="11">
        <f t="shared" si="3"/>
        <v>-724785000</v>
      </c>
      <c r="J53" s="53">
        <f t="shared" si="4"/>
        <v>0</v>
      </c>
      <c r="K53" s="53">
        <f t="shared" si="5"/>
        <v>-724785000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687</v>
      </c>
      <c r="H54" s="36">
        <f t="shared" si="2"/>
        <v>0</v>
      </c>
      <c r="I54" s="11">
        <f t="shared" si="3"/>
        <v>-137400000</v>
      </c>
      <c r="J54" s="53">
        <f t="shared" si="4"/>
        <v>0</v>
      </c>
      <c r="K54" s="53">
        <f t="shared" si="5"/>
        <v>-137400000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687</v>
      </c>
      <c r="H55" s="36">
        <f t="shared" si="2"/>
        <v>0</v>
      </c>
      <c r="I55" s="11">
        <f t="shared" si="3"/>
        <v>-687343500</v>
      </c>
      <c r="J55" s="53">
        <f t="shared" si="4"/>
        <v>0</v>
      </c>
      <c r="K55" s="53">
        <f t="shared" si="5"/>
        <v>-687343500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687</v>
      </c>
      <c r="H56" s="36">
        <f t="shared" si="2"/>
        <v>0</v>
      </c>
      <c r="I56" s="11">
        <f t="shared" si="3"/>
        <v>-26106000</v>
      </c>
      <c r="J56" s="53">
        <f t="shared" si="4"/>
        <v>0</v>
      </c>
      <c r="K56" s="53">
        <f t="shared" si="5"/>
        <v>-26106000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687</v>
      </c>
      <c r="H57" s="36">
        <f t="shared" si="2"/>
        <v>0</v>
      </c>
      <c r="I57" s="11">
        <f t="shared" si="3"/>
        <v>-72135000</v>
      </c>
      <c r="J57" s="53">
        <f t="shared" si="4"/>
        <v>0</v>
      </c>
      <c r="K57" s="53">
        <f t="shared" si="5"/>
        <v>-72135000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687</v>
      </c>
      <c r="H58" s="36">
        <f t="shared" si="2"/>
        <v>0</v>
      </c>
      <c r="I58" s="11">
        <f t="shared" si="3"/>
        <v>-41220000</v>
      </c>
      <c r="J58" s="53">
        <f t="shared" si="4"/>
        <v>0</v>
      </c>
      <c r="K58" s="53">
        <f t="shared" si="5"/>
        <v>-41220000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684</v>
      </c>
      <c r="H59" s="36">
        <f t="shared" si="2"/>
        <v>1</v>
      </c>
      <c r="I59" s="11">
        <f t="shared" si="3"/>
        <v>683000000</v>
      </c>
      <c r="J59" s="53">
        <f t="shared" si="4"/>
        <v>683000000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683</v>
      </c>
      <c r="H60" s="36">
        <f t="shared" si="2"/>
        <v>1</v>
      </c>
      <c r="I60" s="11">
        <f t="shared" si="3"/>
        <v>2387000000</v>
      </c>
      <c r="J60" s="53">
        <f t="shared" si="4"/>
        <v>2387000000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681</v>
      </c>
      <c r="H61" s="36">
        <f t="shared" si="2"/>
        <v>1</v>
      </c>
      <c r="I61" s="11">
        <f t="shared" si="3"/>
        <v>680000000</v>
      </c>
      <c r="J61" s="53">
        <f t="shared" si="4"/>
        <v>680000000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681</v>
      </c>
      <c r="H62" s="36">
        <f t="shared" si="2"/>
        <v>1</v>
      </c>
      <c r="I62" s="11">
        <f t="shared" si="3"/>
        <v>2040000000</v>
      </c>
      <c r="J62" s="53">
        <f t="shared" si="4"/>
        <v>2040000000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679</v>
      </c>
      <c r="H63" s="36">
        <f t="shared" si="2"/>
        <v>0</v>
      </c>
      <c r="I63" s="11">
        <f t="shared" si="3"/>
        <v>-135800000</v>
      </c>
      <c r="J63" s="53">
        <f t="shared" si="4"/>
        <v>0</v>
      </c>
      <c r="K63" s="53">
        <f t="shared" si="5"/>
        <v>-135800000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674</v>
      </c>
      <c r="H64" s="36">
        <f t="shared" si="2"/>
        <v>0</v>
      </c>
      <c r="I64" s="11">
        <f t="shared" si="3"/>
        <v>-33700000</v>
      </c>
      <c r="J64" s="53">
        <f t="shared" si="4"/>
        <v>0</v>
      </c>
      <c r="K64" s="53">
        <f t="shared" si="5"/>
        <v>-33700000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670</v>
      </c>
      <c r="H65" s="36">
        <f t="shared" si="2"/>
        <v>0</v>
      </c>
      <c r="I65" s="11">
        <f t="shared" si="3"/>
        <v>-134000000</v>
      </c>
      <c r="J65" s="53">
        <f t="shared" si="4"/>
        <v>0</v>
      </c>
      <c r="K65" s="53">
        <f t="shared" si="5"/>
        <v>-134000000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667</v>
      </c>
      <c r="H66" s="36">
        <f t="shared" si="2"/>
        <v>0</v>
      </c>
      <c r="I66" s="11">
        <f t="shared" si="3"/>
        <v>-113390000</v>
      </c>
      <c r="J66" s="53">
        <f t="shared" si="4"/>
        <v>0</v>
      </c>
      <c r="K66" s="53">
        <f t="shared" si="5"/>
        <v>-113390000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666</v>
      </c>
      <c r="H67" s="36">
        <f t="shared" ref="H67:H131" si="8">IF(B67&gt;0,1,0)</f>
        <v>1</v>
      </c>
      <c r="I67" s="11">
        <f t="shared" ref="I67:I119" si="9">B67*(G67-H67)</f>
        <v>60731125</v>
      </c>
      <c r="J67" s="53">
        <f t="shared" ref="J67:J131" si="10">C67*(G67-H67)</f>
        <v>43705795</v>
      </c>
      <c r="K67" s="53">
        <f t="shared" ref="K67:K131" si="11">D67*(G67-H67)</f>
        <v>17025330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648</v>
      </c>
      <c r="H68" s="36">
        <f t="shared" si="8"/>
        <v>0</v>
      </c>
      <c r="I68" s="11">
        <f t="shared" si="9"/>
        <v>-93960000</v>
      </c>
      <c r="J68" s="53">
        <f t="shared" si="10"/>
        <v>0</v>
      </c>
      <c r="K68" s="53">
        <f t="shared" si="11"/>
        <v>-93960000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641</v>
      </c>
      <c r="H69" s="36">
        <f t="shared" si="8"/>
        <v>1</v>
      </c>
      <c r="I69" s="11">
        <f t="shared" si="9"/>
        <v>627200000</v>
      </c>
      <c r="J69" s="53">
        <f t="shared" si="10"/>
        <v>0</v>
      </c>
      <c r="K69" s="53">
        <f t="shared" si="11"/>
        <v>627200000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638</v>
      </c>
      <c r="H70" s="36">
        <f t="shared" si="8"/>
        <v>0</v>
      </c>
      <c r="I70" s="11">
        <f t="shared" si="9"/>
        <v>-29348000</v>
      </c>
      <c r="J70" s="53">
        <f t="shared" si="10"/>
        <v>0</v>
      </c>
      <c r="K70" s="53">
        <f t="shared" si="11"/>
        <v>-29348000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636</v>
      </c>
      <c r="H71" s="36">
        <f t="shared" si="8"/>
        <v>1</v>
      </c>
      <c r="I71" s="11">
        <f t="shared" si="9"/>
        <v>73239630</v>
      </c>
      <c r="J71" s="53">
        <f t="shared" si="10"/>
        <v>65920620</v>
      </c>
      <c r="K71" s="53">
        <f t="shared" si="11"/>
        <v>7319010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635</v>
      </c>
      <c r="H72" s="36">
        <f t="shared" si="8"/>
        <v>0</v>
      </c>
      <c r="I72" s="11">
        <f t="shared" si="9"/>
        <v>-96500315</v>
      </c>
      <c r="J72" s="53">
        <f t="shared" si="10"/>
        <v>0</v>
      </c>
      <c r="K72" s="53">
        <f t="shared" si="11"/>
        <v>-96500315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634</v>
      </c>
      <c r="H73" s="36">
        <f t="shared" si="8"/>
        <v>0</v>
      </c>
      <c r="I73" s="11">
        <f t="shared" si="9"/>
        <v>-510687000</v>
      </c>
      <c r="J73" s="53">
        <f t="shared" si="10"/>
        <v>0</v>
      </c>
      <c r="K73" s="53">
        <f t="shared" si="11"/>
        <v>-510687000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627</v>
      </c>
      <c r="H74" s="36">
        <f t="shared" si="8"/>
        <v>1</v>
      </c>
      <c r="I74" s="11">
        <f t="shared" si="9"/>
        <v>4378870000</v>
      </c>
      <c r="J74" s="53">
        <f t="shared" si="10"/>
        <v>0</v>
      </c>
      <c r="K74" s="53">
        <f t="shared" si="11"/>
        <v>4378870000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626</v>
      </c>
      <c r="H75" s="36">
        <f t="shared" si="8"/>
        <v>1</v>
      </c>
      <c r="I75" s="11">
        <f t="shared" si="9"/>
        <v>1875000000</v>
      </c>
      <c r="J75" s="53">
        <f t="shared" si="10"/>
        <v>0</v>
      </c>
      <c r="K75" s="53">
        <f t="shared" si="11"/>
        <v>1875000000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624</v>
      </c>
      <c r="H76" s="36">
        <f t="shared" si="8"/>
        <v>1</v>
      </c>
      <c r="I76" s="11">
        <f t="shared" si="9"/>
        <v>1869000000</v>
      </c>
      <c r="J76" s="53">
        <f t="shared" si="10"/>
        <v>0</v>
      </c>
      <c r="K76" s="53">
        <f t="shared" si="11"/>
        <v>1869000000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623</v>
      </c>
      <c r="H77" s="36">
        <f t="shared" si="8"/>
        <v>1</v>
      </c>
      <c r="I77" s="11">
        <f t="shared" si="9"/>
        <v>1866000000</v>
      </c>
      <c r="J77" s="53">
        <f t="shared" si="10"/>
        <v>0</v>
      </c>
      <c r="K77" s="53">
        <f t="shared" si="11"/>
        <v>1866000000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622</v>
      </c>
      <c r="H78" s="36">
        <f t="shared" si="8"/>
        <v>0</v>
      </c>
      <c r="I78" s="11">
        <f t="shared" si="9"/>
        <v>-1990400000</v>
      </c>
      <c r="J78" s="53">
        <f t="shared" si="10"/>
        <v>-1990400000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621</v>
      </c>
      <c r="H79" s="36">
        <f t="shared" si="8"/>
        <v>0</v>
      </c>
      <c r="I79" s="11">
        <f t="shared" si="9"/>
        <v>-496800000</v>
      </c>
      <c r="J79" s="53">
        <f t="shared" si="10"/>
        <v>-496800000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620</v>
      </c>
      <c r="H80" s="36">
        <f t="shared" si="8"/>
        <v>0</v>
      </c>
      <c r="I80" s="11">
        <f t="shared" si="9"/>
        <v>-30003660</v>
      </c>
      <c r="J80" s="53">
        <f t="shared" si="10"/>
        <v>0</v>
      </c>
      <c r="K80" s="53">
        <f t="shared" si="11"/>
        <v>-30003660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619</v>
      </c>
      <c r="H81" s="36">
        <f t="shared" si="8"/>
        <v>0</v>
      </c>
      <c r="I81" s="11">
        <f t="shared" si="9"/>
        <v>-86660000</v>
      </c>
      <c r="J81" s="53">
        <f t="shared" si="10"/>
        <v>0</v>
      </c>
      <c r="K81" s="53">
        <f t="shared" si="11"/>
        <v>-86660000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618</v>
      </c>
      <c r="H82" s="36">
        <f t="shared" si="8"/>
        <v>0</v>
      </c>
      <c r="I82" s="11">
        <f t="shared" si="9"/>
        <v>-154500000</v>
      </c>
      <c r="J82" s="53">
        <f t="shared" si="10"/>
        <v>0</v>
      </c>
      <c r="K82" s="53">
        <f t="shared" si="11"/>
        <v>-154500000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617</v>
      </c>
      <c r="H83" s="36">
        <f t="shared" si="8"/>
        <v>0</v>
      </c>
      <c r="I83" s="11">
        <f t="shared" si="9"/>
        <v>-123400000</v>
      </c>
      <c r="J83" s="53">
        <f t="shared" si="10"/>
        <v>0</v>
      </c>
      <c r="K83" s="53">
        <f t="shared" si="11"/>
        <v>-123400000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614</v>
      </c>
      <c r="H84" s="36">
        <f t="shared" si="8"/>
        <v>1</v>
      </c>
      <c r="I84" s="11">
        <f t="shared" si="9"/>
        <v>1002377600</v>
      </c>
      <c r="J84" s="53">
        <f t="shared" si="10"/>
        <v>0</v>
      </c>
      <c r="K84" s="53">
        <f t="shared" si="11"/>
        <v>1002377600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610</v>
      </c>
      <c r="H85" s="36">
        <f t="shared" si="8"/>
        <v>1</v>
      </c>
      <c r="I85" s="11">
        <f t="shared" si="9"/>
        <v>1522500000</v>
      </c>
      <c r="J85" s="53">
        <f t="shared" si="10"/>
        <v>0</v>
      </c>
      <c r="K85" s="53">
        <f t="shared" si="11"/>
        <v>1522500000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606</v>
      </c>
      <c r="H86" s="36">
        <f t="shared" si="8"/>
        <v>1</v>
      </c>
      <c r="I86" s="11">
        <f t="shared" si="9"/>
        <v>112711500</v>
      </c>
      <c r="J86" s="53">
        <f t="shared" si="10"/>
        <v>51394750</v>
      </c>
      <c r="K86" s="53">
        <f t="shared" si="11"/>
        <v>61316750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603</v>
      </c>
      <c r="H87" s="36">
        <f t="shared" si="8"/>
        <v>0</v>
      </c>
      <c r="I87" s="11">
        <f t="shared" si="9"/>
        <v>-120600000</v>
      </c>
      <c r="J87" s="53">
        <f t="shared" si="10"/>
        <v>0</v>
      </c>
      <c r="K87" s="53">
        <f t="shared" si="11"/>
        <v>-120600000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602</v>
      </c>
      <c r="H88" s="36">
        <f t="shared" si="8"/>
        <v>0</v>
      </c>
      <c r="I88" s="11">
        <f t="shared" si="9"/>
        <v>-71036000</v>
      </c>
      <c r="J88" s="53">
        <f t="shared" si="10"/>
        <v>-41538000</v>
      </c>
      <c r="K88" s="53">
        <f t="shared" si="11"/>
        <v>-29498000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594</v>
      </c>
      <c r="H89" s="36">
        <f t="shared" si="8"/>
        <v>0</v>
      </c>
      <c r="I89" s="11">
        <f t="shared" si="9"/>
        <v>-1901334600</v>
      </c>
      <c r="J89" s="53">
        <f t="shared" si="10"/>
        <v>0</v>
      </c>
      <c r="K89" s="53">
        <f t="shared" si="11"/>
        <v>-1901334600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593</v>
      </c>
      <c r="H90" s="36">
        <f t="shared" si="8"/>
        <v>0</v>
      </c>
      <c r="I90" s="11">
        <f t="shared" si="9"/>
        <v>-1898133700</v>
      </c>
      <c r="J90" s="53">
        <f t="shared" si="10"/>
        <v>0</v>
      </c>
      <c r="K90" s="53">
        <f t="shared" si="11"/>
        <v>-1898133700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592</v>
      </c>
      <c r="H91" s="36">
        <f t="shared" si="8"/>
        <v>0</v>
      </c>
      <c r="I91" s="11">
        <f t="shared" si="9"/>
        <v>-1894932800</v>
      </c>
      <c r="J91" s="53">
        <f t="shared" si="10"/>
        <v>0</v>
      </c>
      <c r="K91" s="53">
        <f t="shared" si="11"/>
        <v>-1894932800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591</v>
      </c>
      <c r="H92" s="36">
        <f t="shared" si="8"/>
        <v>0</v>
      </c>
      <c r="I92" s="11">
        <f t="shared" si="9"/>
        <v>-1891731900</v>
      </c>
      <c r="J92" s="53">
        <f t="shared" si="10"/>
        <v>0</v>
      </c>
      <c r="K92" s="53">
        <f t="shared" si="11"/>
        <v>-1891731900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590</v>
      </c>
      <c r="H93" s="36">
        <f t="shared" si="8"/>
        <v>0</v>
      </c>
      <c r="I93" s="11">
        <f t="shared" si="9"/>
        <v>-1888531000</v>
      </c>
      <c r="J93" s="53">
        <f t="shared" si="10"/>
        <v>0</v>
      </c>
      <c r="K93" s="53">
        <f t="shared" si="11"/>
        <v>-1888531000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589</v>
      </c>
      <c r="H94" s="36">
        <f t="shared" si="8"/>
        <v>0</v>
      </c>
      <c r="I94" s="11">
        <f t="shared" si="9"/>
        <v>-1885330100</v>
      </c>
      <c r="J94" s="53">
        <f t="shared" si="10"/>
        <v>0</v>
      </c>
      <c r="K94" s="53">
        <f t="shared" si="11"/>
        <v>-1885330100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587</v>
      </c>
      <c r="H95" s="36">
        <f t="shared" si="8"/>
        <v>0</v>
      </c>
      <c r="I95" s="11">
        <f t="shared" si="9"/>
        <v>-702401852</v>
      </c>
      <c r="J95" s="53">
        <f t="shared" si="10"/>
        <v>0</v>
      </c>
      <c r="K95" s="53">
        <f t="shared" si="11"/>
        <v>-702401852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577</v>
      </c>
      <c r="H96" s="36">
        <f t="shared" si="8"/>
        <v>0</v>
      </c>
      <c r="I96" s="11">
        <f t="shared" si="9"/>
        <v>-115400000</v>
      </c>
      <c r="J96" s="53">
        <f t="shared" si="10"/>
        <v>0</v>
      </c>
      <c r="K96" s="53">
        <f t="shared" si="11"/>
        <v>-115400000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576</v>
      </c>
      <c r="H97" s="36">
        <f t="shared" si="8"/>
        <v>1</v>
      </c>
      <c r="I97" s="11">
        <f t="shared" si="9"/>
        <v>91745850</v>
      </c>
      <c r="J97" s="53">
        <f t="shared" si="10"/>
        <v>39632450</v>
      </c>
      <c r="K97" s="53">
        <f t="shared" si="11"/>
        <v>52113400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571</v>
      </c>
      <c r="H98" s="36">
        <f t="shared" si="8"/>
        <v>1</v>
      </c>
      <c r="I98" s="11">
        <f t="shared" si="9"/>
        <v>65189760</v>
      </c>
      <c r="J98" s="53">
        <f t="shared" si="10"/>
        <v>0</v>
      </c>
      <c r="K98" s="53">
        <f t="shared" si="11"/>
        <v>65189760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568</v>
      </c>
      <c r="H99" s="36">
        <f t="shared" si="8"/>
        <v>0</v>
      </c>
      <c r="I99" s="11">
        <f t="shared" si="9"/>
        <v>-752600000</v>
      </c>
      <c r="J99" s="53">
        <f t="shared" si="10"/>
        <v>0</v>
      </c>
      <c r="K99" s="53">
        <f t="shared" si="11"/>
        <v>-752600000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563</v>
      </c>
      <c r="H100" s="36">
        <f t="shared" si="8"/>
        <v>1</v>
      </c>
      <c r="I100" s="11">
        <f t="shared" si="9"/>
        <v>744650000</v>
      </c>
      <c r="J100" s="53">
        <f t="shared" si="10"/>
        <v>0</v>
      </c>
      <c r="K100" s="53">
        <f t="shared" si="11"/>
        <v>744650000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546</v>
      </c>
      <c r="H101" s="36">
        <f t="shared" si="8"/>
        <v>1</v>
      </c>
      <c r="I101" s="11">
        <f t="shared" si="9"/>
        <v>36430525</v>
      </c>
      <c r="J101" s="53">
        <f t="shared" si="10"/>
        <v>36430525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543</v>
      </c>
      <c r="H102" s="36">
        <f t="shared" si="8"/>
        <v>1</v>
      </c>
      <c r="I102" s="11">
        <f t="shared" si="9"/>
        <v>1626000000</v>
      </c>
      <c r="J102" s="53">
        <f t="shared" si="10"/>
        <v>0</v>
      </c>
      <c r="K102" s="53">
        <f t="shared" si="11"/>
        <v>1626000000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536</v>
      </c>
      <c r="H103" s="36">
        <f t="shared" si="8"/>
        <v>0</v>
      </c>
      <c r="I103" s="11">
        <f t="shared" si="9"/>
        <v>-536000000</v>
      </c>
      <c r="J103" s="53">
        <f t="shared" si="10"/>
        <v>-536000000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526</v>
      </c>
      <c r="H104" s="36">
        <f t="shared" si="8"/>
        <v>1</v>
      </c>
      <c r="I104" s="11">
        <f t="shared" si="9"/>
        <v>1575000000</v>
      </c>
      <c r="J104" s="53">
        <f t="shared" si="10"/>
        <v>1575000000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525</v>
      </c>
      <c r="H105" s="36">
        <f t="shared" si="8"/>
        <v>1</v>
      </c>
      <c r="I105" s="11">
        <f t="shared" si="9"/>
        <v>586880000</v>
      </c>
      <c r="J105" s="53">
        <f t="shared" si="10"/>
        <v>586880000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525</v>
      </c>
      <c r="H106" s="36">
        <f t="shared" si="8"/>
        <v>0</v>
      </c>
      <c r="I106" s="11">
        <f t="shared" si="9"/>
        <v>-1575000000</v>
      </c>
      <c r="J106" s="53">
        <f t="shared" si="10"/>
        <v>0</v>
      </c>
      <c r="K106" s="53">
        <f t="shared" si="11"/>
        <v>-1575000000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516</v>
      </c>
      <c r="H107" s="36">
        <f t="shared" si="8"/>
        <v>1</v>
      </c>
      <c r="I107" s="11">
        <f t="shared" si="9"/>
        <v>46604410</v>
      </c>
      <c r="J107" s="53">
        <f t="shared" si="10"/>
        <v>38684225</v>
      </c>
      <c r="K107" s="53">
        <f t="shared" si="11"/>
        <v>7920185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514</v>
      </c>
      <c r="H108" s="36">
        <f t="shared" si="8"/>
        <v>0</v>
      </c>
      <c r="I108" s="11">
        <f t="shared" si="9"/>
        <v>-874159800</v>
      </c>
      <c r="J108" s="53">
        <f t="shared" si="10"/>
        <v>0</v>
      </c>
      <c r="K108" s="53">
        <f t="shared" si="11"/>
        <v>-874159800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510</v>
      </c>
      <c r="H109" s="36">
        <f t="shared" si="8"/>
        <v>0</v>
      </c>
      <c r="I109" s="11">
        <f t="shared" si="9"/>
        <v>-510255000</v>
      </c>
      <c r="J109" s="53">
        <f t="shared" si="10"/>
        <v>0</v>
      </c>
      <c r="K109" s="53">
        <f t="shared" si="11"/>
        <v>-510255000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507</v>
      </c>
      <c r="H110" s="36">
        <f t="shared" si="8"/>
        <v>1</v>
      </c>
      <c r="I110" s="11">
        <f t="shared" si="9"/>
        <v>10120000000</v>
      </c>
      <c r="J110" s="53">
        <f t="shared" si="10"/>
        <v>0</v>
      </c>
      <c r="K110" s="53">
        <f t="shared" si="11"/>
        <v>10120000000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487</v>
      </c>
      <c r="H111" s="36">
        <f t="shared" si="8"/>
        <v>1</v>
      </c>
      <c r="I111" s="11">
        <f t="shared" si="9"/>
        <v>84893508</v>
      </c>
      <c r="J111" s="53">
        <f t="shared" si="10"/>
        <v>42458418</v>
      </c>
      <c r="K111" s="53">
        <f t="shared" si="11"/>
        <v>42435090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471</v>
      </c>
      <c r="H112" s="36">
        <f t="shared" si="8"/>
        <v>0</v>
      </c>
      <c r="I112" s="11">
        <f t="shared" si="9"/>
        <v>-13376400000</v>
      </c>
      <c r="J112" s="53">
        <f t="shared" si="10"/>
        <v>0</v>
      </c>
      <c r="K112" s="53">
        <f t="shared" si="11"/>
        <v>-13376400000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456</v>
      </c>
      <c r="H113" s="36">
        <f t="shared" si="8"/>
        <v>1</v>
      </c>
      <c r="I113" s="11">
        <f t="shared" si="9"/>
        <v>74183200</v>
      </c>
      <c r="J113" s="53">
        <f t="shared" si="10"/>
        <v>55742505</v>
      </c>
      <c r="K113" s="53">
        <f t="shared" si="11"/>
        <v>18440695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456</v>
      </c>
      <c r="H114" s="36">
        <f t="shared" si="8"/>
        <v>0</v>
      </c>
      <c r="I114" s="11">
        <f t="shared" si="9"/>
        <v>-2599200</v>
      </c>
      <c r="J114" s="53">
        <f t="shared" si="10"/>
        <v>-1140000</v>
      </c>
      <c r="K114" s="53">
        <f t="shared" si="11"/>
        <v>-1459200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443</v>
      </c>
      <c r="H115" s="36">
        <f t="shared" si="8"/>
        <v>0</v>
      </c>
      <c r="I115" s="11">
        <f t="shared" si="9"/>
        <v>0</v>
      </c>
      <c r="J115" s="53">
        <f t="shared" si="10"/>
        <v>221500000</v>
      </c>
      <c r="K115" s="53">
        <f t="shared" si="11"/>
        <v>-221500000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435</v>
      </c>
      <c r="H116" s="36">
        <f t="shared" si="8"/>
        <v>0</v>
      </c>
      <c r="I116" s="11">
        <f t="shared" si="9"/>
        <v>-69600000</v>
      </c>
      <c r="J116" s="53">
        <f t="shared" si="10"/>
        <v>0</v>
      </c>
      <c r="K116" s="53">
        <f t="shared" si="11"/>
        <v>-69600000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426</v>
      </c>
      <c r="H117" s="36">
        <f t="shared" si="8"/>
        <v>1</v>
      </c>
      <c r="I117" s="11">
        <f t="shared" si="9"/>
        <v>629000</v>
      </c>
      <c r="J117" s="53">
        <f t="shared" si="10"/>
        <v>45449925</v>
      </c>
      <c r="K117" s="53">
        <f t="shared" si="11"/>
        <v>-44820925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404</v>
      </c>
      <c r="H118" s="36">
        <f t="shared" si="8"/>
        <v>1</v>
      </c>
      <c r="I118" s="11">
        <f t="shared" si="9"/>
        <v>15877998500</v>
      </c>
      <c r="J118" s="53">
        <f t="shared" si="10"/>
        <v>0</v>
      </c>
      <c r="K118" s="53">
        <f t="shared" si="11"/>
        <v>15877998500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395</v>
      </c>
      <c r="H119" s="36">
        <f t="shared" si="8"/>
        <v>1</v>
      </c>
      <c r="I119" s="11">
        <f t="shared" si="9"/>
        <v>37635274</v>
      </c>
      <c r="J119" s="53">
        <f t="shared" si="10"/>
        <v>43361276</v>
      </c>
      <c r="K119" s="53">
        <f t="shared" si="11"/>
        <v>-5726002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391</v>
      </c>
      <c r="H120" s="11">
        <f t="shared" si="8"/>
        <v>1</v>
      </c>
      <c r="I120" s="11">
        <f t="shared" ref="I120:I176" si="13">B120*(G120-H120)</f>
        <v>780000000</v>
      </c>
      <c r="J120" s="11">
        <f t="shared" si="10"/>
        <v>0</v>
      </c>
      <c r="K120" s="11">
        <f t="shared" si="11"/>
        <v>780000000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365</v>
      </c>
      <c r="H121" s="11">
        <f t="shared" si="8"/>
        <v>1</v>
      </c>
      <c r="I121" s="11">
        <f t="shared" si="13"/>
        <v>946400000</v>
      </c>
      <c r="J121" s="11">
        <f t="shared" si="10"/>
        <v>0</v>
      </c>
      <c r="K121" s="11">
        <f t="shared" si="11"/>
        <v>946400000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364</v>
      </c>
      <c r="H122" s="11">
        <f t="shared" si="8"/>
        <v>1</v>
      </c>
      <c r="I122" s="11">
        <f t="shared" si="13"/>
        <v>139592013</v>
      </c>
      <c r="J122" s="11">
        <f t="shared" si="10"/>
        <v>40259604</v>
      </c>
      <c r="K122" s="11">
        <f t="shared" si="11"/>
        <v>99332409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363</v>
      </c>
      <c r="H123" s="11">
        <f t="shared" si="8"/>
        <v>0</v>
      </c>
      <c r="I123" s="11">
        <f t="shared" si="13"/>
        <v>0</v>
      </c>
      <c r="J123" s="11">
        <f t="shared" si="10"/>
        <v>290400000</v>
      </c>
      <c r="K123" s="11">
        <f t="shared" si="11"/>
        <v>-290400000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349</v>
      </c>
      <c r="H124" s="11">
        <f t="shared" si="8"/>
        <v>0</v>
      </c>
      <c r="I124" s="11">
        <f t="shared" si="13"/>
        <v>-1047000000</v>
      </c>
      <c r="J124" s="11">
        <f t="shared" si="10"/>
        <v>0</v>
      </c>
      <c r="K124" s="11">
        <f t="shared" si="11"/>
        <v>-1047000000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334</v>
      </c>
      <c r="H125" s="11">
        <f t="shared" si="8"/>
        <v>1</v>
      </c>
      <c r="I125" s="11">
        <f t="shared" si="13"/>
        <v>133436430</v>
      </c>
      <c r="J125" s="11">
        <f t="shared" si="10"/>
        <v>39585375</v>
      </c>
      <c r="K125" s="11">
        <f t="shared" si="11"/>
        <v>93851055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334</v>
      </c>
      <c r="H126" s="11">
        <f t="shared" si="8"/>
        <v>1</v>
      </c>
      <c r="I126" s="11">
        <f t="shared" si="13"/>
        <v>13986000000</v>
      </c>
      <c r="J126" s="11">
        <f t="shared" si="10"/>
        <v>0</v>
      </c>
      <c r="K126" s="11">
        <f t="shared" si="11"/>
        <v>13986000000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309</v>
      </c>
      <c r="H127" s="11">
        <f t="shared" si="8"/>
        <v>0</v>
      </c>
      <c r="I127" s="11">
        <f t="shared" si="13"/>
        <v>-1545000</v>
      </c>
      <c r="J127" s="11">
        <f t="shared" si="10"/>
        <v>0</v>
      </c>
      <c r="K127" s="11">
        <f t="shared" si="11"/>
        <v>-1545000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303</v>
      </c>
      <c r="H128" s="11">
        <f t="shared" si="8"/>
        <v>1</v>
      </c>
      <c r="I128" s="11">
        <f t="shared" si="13"/>
        <v>232954948</v>
      </c>
      <c r="J128" s="11">
        <f t="shared" si="10"/>
        <v>36450494</v>
      </c>
      <c r="K128" s="11">
        <f t="shared" si="11"/>
        <v>196504454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300</v>
      </c>
      <c r="H129" s="11">
        <f t="shared" si="8"/>
        <v>1</v>
      </c>
      <c r="I129" s="11">
        <f t="shared" si="13"/>
        <v>747500000</v>
      </c>
      <c r="J129" s="11">
        <f t="shared" si="10"/>
        <v>0</v>
      </c>
      <c r="K129" s="11">
        <f t="shared" si="11"/>
        <v>747500000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286</v>
      </c>
      <c r="H130" s="11">
        <f t="shared" si="8"/>
        <v>0</v>
      </c>
      <c r="I130" s="11">
        <f t="shared" si="13"/>
        <v>-286000000</v>
      </c>
      <c r="J130" s="11">
        <f t="shared" si="10"/>
        <v>-286000000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281</v>
      </c>
      <c r="H131" s="11">
        <f t="shared" si="8"/>
        <v>0</v>
      </c>
      <c r="I131" s="11">
        <f t="shared" si="13"/>
        <v>-14050000000</v>
      </c>
      <c r="J131" s="11">
        <f t="shared" si="10"/>
        <v>0</v>
      </c>
      <c r="K131" s="11">
        <f t="shared" si="11"/>
        <v>-14050000000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273</v>
      </c>
      <c r="H132" s="11">
        <f t="shared" ref="H132:H176" si="15">IF(B132&gt;0,1,0)</f>
        <v>1</v>
      </c>
      <c r="I132" s="11">
        <f t="shared" si="13"/>
        <v>167086064</v>
      </c>
      <c r="J132" s="11">
        <f t="shared" ref="J132:J176" si="16">C132*(G132-H132)</f>
        <v>28824112</v>
      </c>
      <c r="K132" s="11">
        <f t="shared" ref="K132:K176" si="17">D132*(G132-H132)</f>
        <v>138261952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269</v>
      </c>
      <c r="H133" s="11">
        <f t="shared" si="15"/>
        <v>0</v>
      </c>
      <c r="I133" s="11">
        <f t="shared" si="13"/>
        <v>-325678300</v>
      </c>
      <c r="J133" s="11">
        <f t="shared" si="16"/>
        <v>0</v>
      </c>
      <c r="K133" s="11">
        <f t="shared" si="17"/>
        <v>-325678300</v>
      </c>
    </row>
    <row r="134" spans="1:13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260</v>
      </c>
      <c r="H134" s="11">
        <f t="shared" si="15"/>
        <v>0</v>
      </c>
      <c r="I134" s="11">
        <f t="shared" si="13"/>
        <v>-16900000</v>
      </c>
      <c r="J134" s="11">
        <f t="shared" si="16"/>
        <v>0</v>
      </c>
      <c r="K134" s="11">
        <f t="shared" si="17"/>
        <v>-16900000</v>
      </c>
    </row>
    <row r="135" spans="1:13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260</v>
      </c>
      <c r="H135" s="11">
        <f t="shared" si="15"/>
        <v>0</v>
      </c>
      <c r="I135" s="11">
        <f t="shared" si="13"/>
        <v>-8398000</v>
      </c>
      <c r="J135" s="11">
        <f t="shared" si="16"/>
        <v>0</v>
      </c>
      <c r="K135" s="11">
        <f t="shared" si="17"/>
        <v>-8398000</v>
      </c>
    </row>
    <row r="136" spans="1:13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252</v>
      </c>
      <c r="H136" s="11">
        <f t="shared" si="15"/>
        <v>0</v>
      </c>
      <c r="I136" s="11">
        <f t="shared" si="13"/>
        <v>-252000000</v>
      </c>
      <c r="J136" s="11">
        <f t="shared" si="16"/>
        <v>-252000000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243</v>
      </c>
      <c r="H137" s="11">
        <f t="shared" si="15"/>
        <v>1</v>
      </c>
      <c r="I137" s="11">
        <f t="shared" si="13"/>
        <v>70391266</v>
      </c>
      <c r="J137" s="11">
        <f t="shared" si="16"/>
        <v>23560878</v>
      </c>
      <c r="K137" s="11">
        <f t="shared" si="17"/>
        <v>46830388</v>
      </c>
    </row>
    <row r="138" spans="1:13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226</v>
      </c>
      <c r="H138" s="11">
        <f t="shared" si="15"/>
        <v>0</v>
      </c>
      <c r="I138" s="11">
        <f t="shared" si="13"/>
        <v>-226113000</v>
      </c>
      <c r="J138" s="11">
        <f t="shared" si="16"/>
        <v>-226113000</v>
      </c>
      <c r="K138" s="11">
        <f t="shared" si="17"/>
        <v>0</v>
      </c>
    </row>
    <row r="139" spans="1:13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214</v>
      </c>
      <c r="H139" s="11">
        <f t="shared" si="15"/>
        <v>1</v>
      </c>
      <c r="I139" s="11">
        <f t="shared" si="13"/>
        <v>60117120</v>
      </c>
      <c r="J139" s="11">
        <f t="shared" si="16"/>
        <v>18915891</v>
      </c>
      <c r="K139" s="11">
        <f t="shared" si="17"/>
        <v>41201229</v>
      </c>
    </row>
    <row r="140" spans="1:13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211</v>
      </c>
      <c r="H140" s="11">
        <f t="shared" si="15"/>
        <v>1</v>
      </c>
      <c r="I140" s="11">
        <f t="shared" si="13"/>
        <v>315000000</v>
      </c>
      <c r="J140" s="11">
        <f t="shared" si="16"/>
        <v>0</v>
      </c>
      <c r="K140" s="11">
        <f t="shared" si="17"/>
        <v>315000000</v>
      </c>
    </row>
    <row r="141" spans="1:13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198</v>
      </c>
      <c r="H141" s="11">
        <f t="shared" si="15"/>
        <v>0</v>
      </c>
      <c r="I141" s="11">
        <f t="shared" si="13"/>
        <v>0</v>
      </c>
      <c r="J141" s="11">
        <f t="shared" si="16"/>
        <v>-198000000</v>
      </c>
      <c r="K141" s="11">
        <f t="shared" si="17"/>
        <v>198000000</v>
      </c>
    </row>
    <row r="142" spans="1:13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184</v>
      </c>
      <c r="H142" s="11">
        <f t="shared" si="15"/>
        <v>1</v>
      </c>
      <c r="I142" s="11">
        <f t="shared" si="13"/>
        <v>53233419</v>
      </c>
      <c r="J142" s="11">
        <f t="shared" si="16"/>
        <v>14827026</v>
      </c>
      <c r="K142" s="11">
        <f t="shared" si="17"/>
        <v>38406393</v>
      </c>
    </row>
    <row r="143" spans="1:13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164</v>
      </c>
      <c r="H143" s="11">
        <f t="shared" si="15"/>
        <v>0</v>
      </c>
      <c r="I143" s="11">
        <f t="shared" si="13"/>
        <v>0</v>
      </c>
      <c r="J143" s="11">
        <f t="shared" si="16"/>
        <v>-164000000</v>
      </c>
      <c r="K143" s="11">
        <f t="shared" si="17"/>
        <v>164000000</v>
      </c>
      <c r="M143" t="s">
        <v>25</v>
      </c>
    </row>
    <row r="144" spans="1:13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154</v>
      </c>
      <c r="H144" s="11">
        <f t="shared" si="15"/>
        <v>1</v>
      </c>
      <c r="I144" s="11">
        <f t="shared" si="13"/>
        <v>45112356</v>
      </c>
      <c r="J144" s="11">
        <f t="shared" si="16"/>
        <v>11422521</v>
      </c>
      <c r="K144" s="11">
        <f t="shared" si="17"/>
        <v>33689835</v>
      </c>
    </row>
    <row r="145" spans="1:11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139</v>
      </c>
      <c r="H145" s="11">
        <f t="shared" si="15"/>
        <v>0</v>
      </c>
      <c r="I145" s="11">
        <f t="shared" si="13"/>
        <v>-1390000</v>
      </c>
      <c r="J145" s="11">
        <f t="shared" si="16"/>
        <v>-695000</v>
      </c>
      <c r="K145" s="11">
        <f t="shared" si="17"/>
        <v>-695000</v>
      </c>
    </row>
    <row r="146" spans="1:11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134</v>
      </c>
      <c r="H146" s="11">
        <f t="shared" si="15"/>
        <v>0</v>
      </c>
      <c r="I146" s="11">
        <f t="shared" si="13"/>
        <v>-134067000</v>
      </c>
      <c r="J146" s="11">
        <f t="shared" si="16"/>
        <v>-134067000</v>
      </c>
      <c r="K146" s="11">
        <f t="shared" si="17"/>
        <v>0</v>
      </c>
    </row>
    <row r="147" spans="1:11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128</v>
      </c>
      <c r="H147" s="11">
        <f t="shared" si="15"/>
        <v>0</v>
      </c>
      <c r="I147" s="11">
        <f t="shared" si="13"/>
        <v>-3456000000</v>
      </c>
      <c r="J147" s="11">
        <f t="shared" si="16"/>
        <v>0</v>
      </c>
      <c r="K147" s="11">
        <f t="shared" si="17"/>
        <v>-3456000000</v>
      </c>
    </row>
    <row r="148" spans="1:11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125</v>
      </c>
      <c r="H148" s="11">
        <f t="shared" si="15"/>
        <v>1</v>
      </c>
      <c r="I148" s="11">
        <f t="shared" si="13"/>
        <v>31302064</v>
      </c>
      <c r="J148" s="11">
        <f t="shared" si="16"/>
        <v>8123240</v>
      </c>
      <c r="K148" s="11">
        <f t="shared" si="17"/>
        <v>23178824</v>
      </c>
    </row>
    <row r="149" spans="1:11">
      <c r="A149" s="11" t="s">
        <v>1086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1087</v>
      </c>
      <c r="F149" s="11">
        <v>7</v>
      </c>
      <c r="G149" s="36">
        <f t="shared" si="14"/>
        <v>117</v>
      </c>
      <c r="H149" s="11">
        <f t="shared" si="15"/>
        <v>1</v>
      </c>
      <c r="I149" s="11">
        <f t="shared" si="13"/>
        <v>6078400000</v>
      </c>
      <c r="J149" s="11">
        <f t="shared" si="16"/>
        <v>0</v>
      </c>
      <c r="K149" s="11">
        <f t="shared" si="17"/>
        <v>6078400000</v>
      </c>
    </row>
    <row r="150" spans="1:11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110</v>
      </c>
      <c r="H150" s="11">
        <f t="shared" si="15"/>
        <v>0</v>
      </c>
      <c r="I150" s="11">
        <f t="shared" si="13"/>
        <v>-5720000000</v>
      </c>
      <c r="J150" s="11">
        <f t="shared" si="16"/>
        <v>0</v>
      </c>
      <c r="K150" s="11">
        <f t="shared" si="17"/>
        <v>-5720000000</v>
      </c>
    </row>
    <row r="151" spans="1:11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105</v>
      </c>
      <c r="H151" s="105">
        <f t="shared" si="15"/>
        <v>0</v>
      </c>
      <c r="I151" s="105">
        <f t="shared" si="13"/>
        <v>-840000000</v>
      </c>
      <c r="J151" s="105">
        <f t="shared" si="16"/>
        <v>-711073755</v>
      </c>
      <c r="K151" s="11">
        <f t="shared" si="17"/>
        <v>-128926245</v>
      </c>
    </row>
    <row r="152" spans="1:11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105</v>
      </c>
      <c r="H152" s="105">
        <f t="shared" si="15"/>
        <v>0</v>
      </c>
      <c r="I152" s="105">
        <f t="shared" si="13"/>
        <v>-3279150</v>
      </c>
      <c r="J152" s="105">
        <f t="shared" si="16"/>
        <v>0</v>
      </c>
      <c r="K152" s="105">
        <f t="shared" si="17"/>
        <v>-3279150</v>
      </c>
    </row>
    <row r="153" spans="1:11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94</v>
      </c>
      <c r="H153" s="105">
        <f t="shared" si="15"/>
        <v>1</v>
      </c>
      <c r="I153" s="105">
        <f t="shared" si="13"/>
        <v>12563091</v>
      </c>
      <c r="J153" s="105">
        <f t="shared" si="16"/>
        <v>3825090</v>
      </c>
      <c r="K153" s="105">
        <f t="shared" si="17"/>
        <v>8738001</v>
      </c>
    </row>
    <row r="154" spans="1:11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91</v>
      </c>
      <c r="H154" s="105">
        <f t="shared" si="15"/>
        <v>1</v>
      </c>
      <c r="I154" s="105">
        <f t="shared" si="13"/>
        <v>614167380</v>
      </c>
      <c r="J154" s="105">
        <f t="shared" si="16"/>
        <v>614167380</v>
      </c>
      <c r="K154" s="105">
        <f t="shared" si="17"/>
        <v>0</v>
      </c>
    </row>
    <row r="155" spans="1:11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86</v>
      </c>
      <c r="H155" s="105">
        <f t="shared" si="15"/>
        <v>0</v>
      </c>
      <c r="I155" s="105">
        <f t="shared" si="13"/>
        <v>-17200000</v>
      </c>
      <c r="J155" s="105">
        <f t="shared" si="16"/>
        <v>0</v>
      </c>
      <c r="K155" s="105">
        <f t="shared" si="17"/>
        <v>-17200000</v>
      </c>
    </row>
    <row r="156" spans="1:11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86</v>
      </c>
      <c r="H156" s="105">
        <f t="shared" si="15"/>
        <v>0</v>
      </c>
      <c r="I156" s="105">
        <f t="shared" si="13"/>
        <v>-21314240</v>
      </c>
      <c r="J156" s="105">
        <f t="shared" si="16"/>
        <v>0</v>
      </c>
      <c r="K156" s="105">
        <f t="shared" si="17"/>
        <v>-21314240</v>
      </c>
    </row>
    <row r="157" spans="1:11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85</v>
      </c>
      <c r="H157" s="105">
        <f t="shared" si="15"/>
        <v>0</v>
      </c>
      <c r="I157" s="105">
        <f t="shared" si="13"/>
        <v>-13798900</v>
      </c>
      <c r="J157" s="105">
        <f t="shared" si="16"/>
        <v>0</v>
      </c>
      <c r="K157" s="105">
        <f t="shared" si="17"/>
        <v>-13798900</v>
      </c>
    </row>
    <row r="158" spans="1:11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85</v>
      </c>
      <c r="H158" s="105">
        <f t="shared" si="15"/>
        <v>0</v>
      </c>
      <c r="I158" s="105">
        <f t="shared" si="13"/>
        <v>-255076500</v>
      </c>
      <c r="J158" s="105">
        <f t="shared" si="16"/>
        <v>0</v>
      </c>
      <c r="K158" s="105">
        <f t="shared" si="17"/>
        <v>-255076500</v>
      </c>
    </row>
    <row r="159" spans="1:11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83</v>
      </c>
      <c r="H159" s="105">
        <f t="shared" si="15"/>
        <v>0</v>
      </c>
      <c r="I159" s="105">
        <f t="shared" si="13"/>
        <v>-83041500</v>
      </c>
      <c r="J159" s="105">
        <f t="shared" si="16"/>
        <v>0</v>
      </c>
      <c r="K159" s="105">
        <f t="shared" si="17"/>
        <v>-83041500</v>
      </c>
    </row>
    <row r="160" spans="1:11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79</v>
      </c>
      <c r="H160" s="105">
        <f t="shared" si="15"/>
        <v>0</v>
      </c>
      <c r="I160" s="105">
        <f t="shared" si="13"/>
        <v>-7900000</v>
      </c>
      <c r="J160" s="105">
        <f t="shared" si="16"/>
        <v>0</v>
      </c>
      <c r="K160" s="105">
        <f t="shared" si="17"/>
        <v>-7900000</v>
      </c>
    </row>
    <row r="161" spans="1:13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78</v>
      </c>
      <c r="H161" s="105">
        <f t="shared" si="15"/>
        <v>0</v>
      </c>
      <c r="I161" s="105">
        <f t="shared" si="13"/>
        <v>-156000000</v>
      </c>
      <c r="J161" s="105">
        <f t="shared" si="16"/>
        <v>0</v>
      </c>
      <c r="K161" s="105">
        <f t="shared" si="17"/>
        <v>-156000000</v>
      </c>
    </row>
    <row r="162" spans="1:13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78</v>
      </c>
      <c r="H162" s="105">
        <f t="shared" si="15"/>
        <v>0</v>
      </c>
      <c r="I162" s="105">
        <f t="shared" si="13"/>
        <v>-78039000</v>
      </c>
      <c r="J162" s="105">
        <f t="shared" si="16"/>
        <v>0</v>
      </c>
      <c r="K162" s="105">
        <f t="shared" si="17"/>
        <v>-78039000</v>
      </c>
    </row>
    <row r="163" spans="1:13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75</v>
      </c>
      <c r="H163" s="105">
        <f t="shared" si="15"/>
        <v>0</v>
      </c>
      <c r="I163" s="105">
        <f t="shared" si="13"/>
        <v>-375000</v>
      </c>
      <c r="J163" s="105">
        <f t="shared" si="16"/>
        <v>0</v>
      </c>
      <c r="K163" s="105">
        <f t="shared" si="17"/>
        <v>-375000</v>
      </c>
    </row>
    <row r="164" spans="1:13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65</v>
      </c>
      <c r="H164" s="105">
        <f t="shared" si="15"/>
        <v>1</v>
      </c>
      <c r="I164" s="105">
        <f t="shared" si="13"/>
        <v>192000000</v>
      </c>
      <c r="J164" s="105">
        <f t="shared" si="16"/>
        <v>0</v>
      </c>
      <c r="K164" s="105">
        <f t="shared" si="17"/>
        <v>192000000</v>
      </c>
    </row>
    <row r="165" spans="1:13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64</v>
      </c>
      <c r="H165" s="105">
        <f t="shared" si="15"/>
        <v>1</v>
      </c>
      <c r="I165" s="105">
        <f t="shared" si="13"/>
        <v>189000000</v>
      </c>
      <c r="J165" s="105">
        <f t="shared" si="16"/>
        <v>0</v>
      </c>
      <c r="K165" s="105">
        <f t="shared" si="17"/>
        <v>189000000</v>
      </c>
    </row>
    <row r="166" spans="1:13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63</v>
      </c>
      <c r="H166" s="105">
        <f t="shared" si="15"/>
        <v>1</v>
      </c>
      <c r="I166" s="105">
        <f t="shared" si="13"/>
        <v>1259468</v>
      </c>
      <c r="J166" s="105">
        <f t="shared" si="16"/>
        <v>3710204</v>
      </c>
      <c r="K166" s="105">
        <f t="shared" si="17"/>
        <v>-2450736</v>
      </c>
    </row>
    <row r="167" spans="1:13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58</v>
      </c>
      <c r="H167" s="105">
        <f t="shared" si="15"/>
        <v>0</v>
      </c>
      <c r="I167" s="105">
        <f t="shared" si="13"/>
        <v>-174052200</v>
      </c>
      <c r="J167" s="105">
        <f t="shared" si="16"/>
        <v>0</v>
      </c>
      <c r="K167" s="105">
        <f t="shared" si="17"/>
        <v>-174052200</v>
      </c>
    </row>
    <row r="168" spans="1:13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40</v>
      </c>
      <c r="H168" s="105">
        <f t="shared" si="15"/>
        <v>0</v>
      </c>
      <c r="I168" s="105">
        <f t="shared" si="13"/>
        <v>-120036000</v>
      </c>
      <c r="J168" s="105">
        <f t="shared" si="16"/>
        <v>0</v>
      </c>
      <c r="K168" s="105">
        <f t="shared" si="17"/>
        <v>-120036000</v>
      </c>
      <c r="M168" t="s">
        <v>25</v>
      </c>
    </row>
    <row r="169" spans="1:13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32</v>
      </c>
      <c r="H169" s="105">
        <f t="shared" si="15"/>
        <v>1</v>
      </c>
      <c r="I169" s="105">
        <f t="shared" si="13"/>
        <v>672855</v>
      </c>
      <c r="J169" s="105">
        <f t="shared" si="16"/>
        <v>2123965</v>
      </c>
      <c r="K169" s="105">
        <f t="shared" si="17"/>
        <v>-1451110</v>
      </c>
    </row>
    <row r="170" spans="1:13">
      <c r="A170" s="105" t="s">
        <v>3976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8</v>
      </c>
      <c r="H170" s="105">
        <f t="shared" si="15"/>
        <v>1</v>
      </c>
      <c r="I170" s="105">
        <f t="shared" si="13"/>
        <v>35000000</v>
      </c>
      <c r="J170" s="105">
        <f t="shared" si="16"/>
        <v>0</v>
      </c>
      <c r="K170" s="105">
        <f t="shared" si="17"/>
        <v>35000000</v>
      </c>
    </row>
    <row r="171" spans="1:13">
      <c r="A171" s="105" t="s">
        <v>3981</v>
      </c>
      <c r="B171" s="18">
        <v>-5000000</v>
      </c>
      <c r="C171" s="18">
        <v>0</v>
      </c>
      <c r="D171" s="18">
        <f t="shared" si="18"/>
        <v>-5000000</v>
      </c>
      <c r="E171" s="105" t="s">
        <v>3982</v>
      </c>
      <c r="F171" s="105">
        <v>6</v>
      </c>
      <c r="G171" s="36">
        <f t="shared" si="14"/>
        <v>7</v>
      </c>
      <c r="H171" s="105">
        <f t="shared" si="15"/>
        <v>0</v>
      </c>
      <c r="I171" s="105">
        <f t="shared" si="13"/>
        <v>-35000000</v>
      </c>
      <c r="J171" s="105">
        <f t="shared" si="16"/>
        <v>0</v>
      </c>
      <c r="K171" s="105">
        <f t="shared" si="17"/>
        <v>-35000000</v>
      </c>
    </row>
    <row r="172" spans="1:13">
      <c r="A172" s="105" t="s">
        <v>4022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</v>
      </c>
      <c r="H172" s="105">
        <f t="shared" si="15"/>
        <v>1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61637</v>
      </c>
      <c r="C177" s="29">
        <f>SUM(C2:C175)</f>
        <v>7835443</v>
      </c>
      <c r="D177" s="29">
        <f>SUM(D2:D175)</f>
        <v>-7773806</v>
      </c>
      <c r="E177" s="11"/>
      <c r="F177" s="11"/>
      <c r="G177" s="11"/>
      <c r="H177" s="11"/>
      <c r="I177" s="29">
        <f>SUM(I2:I176)</f>
        <v>18759249582</v>
      </c>
      <c r="J177" s="29">
        <f>SUM(J2:J176)</f>
        <v>7582160707</v>
      </c>
      <c r="K177" s="29">
        <f>SUM(K2:K176)</f>
        <v>11177088875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22493105.01438849</v>
      </c>
      <c r="J180" s="29">
        <f>J177/G2</f>
        <v>9091319.7925659474</v>
      </c>
      <c r="K180" s="29">
        <f>K177/G2</f>
        <v>13401785.221822541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856</v>
      </c>
      <c r="D184" s="104">
        <f>D177-D151+D152</f>
        <v>-6577167</v>
      </c>
      <c r="G184" t="s">
        <v>25</v>
      </c>
      <c r="J184">
        <f>J177/I177*1448696</f>
        <v>585537.59517799411</v>
      </c>
      <c r="K184">
        <f>K177/I177*1448696</f>
        <v>863158.40482200577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768</v>
      </c>
      <c r="P34" t="s">
        <v>60</v>
      </c>
      <c r="Q34" t="s">
        <v>61</v>
      </c>
    </row>
    <row r="35" spans="4:17">
      <c r="D35" s="42">
        <v>-50000</v>
      </c>
      <c r="E35" s="41" t="s">
        <v>773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801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835</v>
      </c>
      <c r="P34" t="s">
        <v>60</v>
      </c>
      <c r="Q34" t="s">
        <v>61</v>
      </c>
    </row>
    <row r="35" spans="4:17">
      <c r="D35" s="42">
        <v>-80000</v>
      </c>
      <c r="E35" s="41" t="s">
        <v>836</v>
      </c>
    </row>
    <row r="36" spans="4:17">
      <c r="D36" s="42">
        <v>-10000</v>
      </c>
      <c r="E36" s="41" t="s">
        <v>846</v>
      </c>
    </row>
    <row r="37" spans="4:17">
      <c r="D37" s="7">
        <v>-180000</v>
      </c>
      <c r="E37" s="41" t="s">
        <v>851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1021</v>
      </c>
      <c r="P34" t="s">
        <v>60</v>
      </c>
      <c r="Q34" t="s">
        <v>61</v>
      </c>
    </row>
    <row r="35" spans="4:17">
      <c r="D35" s="42">
        <v>200000</v>
      </c>
      <c r="E35" s="41" t="s">
        <v>1039</v>
      </c>
    </row>
    <row r="36" spans="4:17">
      <c r="D36" s="42">
        <v>245000</v>
      </c>
      <c r="E36" s="41" t="s">
        <v>1039</v>
      </c>
    </row>
    <row r="37" spans="4:17">
      <c r="D37" s="7">
        <v>-25000</v>
      </c>
      <c r="E37" s="41" t="s">
        <v>1043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1147</v>
      </c>
      <c r="P35" t="s">
        <v>60</v>
      </c>
      <c r="Q35" t="s">
        <v>61</v>
      </c>
    </row>
    <row r="36" spans="4:17">
      <c r="D36" s="42">
        <v>79552</v>
      </c>
      <c r="E36" s="41" t="s">
        <v>1148</v>
      </c>
    </row>
    <row r="37" spans="4:17">
      <c r="D37" s="7">
        <v>-65500</v>
      </c>
      <c r="E37" s="41" t="s">
        <v>1163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1261</v>
      </c>
    </row>
    <row r="51" spans="1:18">
      <c r="D51" s="120">
        <v>1000000</v>
      </c>
      <c r="E51" s="41" t="s">
        <v>1263</v>
      </c>
    </row>
    <row r="52" spans="1:18">
      <c r="D52" s="120">
        <v>910500</v>
      </c>
      <c r="E52" s="41" t="s">
        <v>1274</v>
      </c>
    </row>
    <row r="53" spans="1:18">
      <c r="D53" s="120">
        <v>-300000</v>
      </c>
      <c r="E53" s="41" t="s">
        <v>1277</v>
      </c>
    </row>
    <row r="54" spans="1:18">
      <c r="D54" s="120">
        <v>-58500</v>
      </c>
      <c r="E54" s="41" t="s">
        <v>1278</v>
      </c>
    </row>
    <row r="55" spans="1:18">
      <c r="D55" s="120">
        <v>-1500000</v>
      </c>
      <c r="E55" s="41" t="s">
        <v>1281</v>
      </c>
    </row>
    <row r="56" spans="1:18">
      <c r="D56" s="120">
        <v>-61000</v>
      </c>
      <c r="E56" s="41" t="s">
        <v>1285</v>
      </c>
    </row>
    <row r="57" spans="1:18">
      <c r="D57" s="120">
        <v>1000000</v>
      </c>
      <c r="E57" s="41" t="s">
        <v>3704</v>
      </c>
    </row>
    <row r="58" spans="1:18">
      <c r="D58" s="120">
        <v>200000</v>
      </c>
      <c r="E58" s="41" t="s">
        <v>3714</v>
      </c>
    </row>
    <row r="59" spans="1:18">
      <c r="D59" s="120">
        <v>3000000</v>
      </c>
      <c r="E59" s="41" t="s">
        <v>3719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60" sqref="E60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selection activeCell="F6" sqref="F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3976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3981</v>
      </c>
      <c r="B4" s="18">
        <v>-5000000</v>
      </c>
      <c r="C4" s="18">
        <v>0</v>
      </c>
      <c r="D4" s="119">
        <f t="shared" si="0"/>
        <v>-5000000</v>
      </c>
      <c r="E4" s="105" t="s">
        <v>3982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4022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3978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3980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3991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3994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3996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4000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4002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4003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>
        <v>3094183</v>
      </c>
      <c r="E61" s="41" t="s">
        <v>4014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v>-1861938</v>
      </c>
      <c r="E62" s="41" t="s">
        <v>4017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C3" sqref="AC3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>
      <c r="A2" s="90" t="s">
        <v>969</v>
      </c>
      <c r="B2" s="91">
        <f>$S2/(1+($AC$2-$O2+$P2)/36500)^$N2</f>
        <v>98810.25094288656</v>
      </c>
      <c r="C2" s="91">
        <f>$S2/(1+($AC$3-$O2+$P2)/36500)^$N2</f>
        <v>98913.113425363103</v>
      </c>
      <c r="D2" s="91">
        <f>$S2/(1+($AC$4-$O2+$P2)/36500)^$N2</f>
        <v>98938.846653872926</v>
      </c>
      <c r="E2" s="91">
        <f>$S2/(1+($AC$5-$O2+$P2)/36500)^$N2</f>
        <v>98964.586929589364</v>
      </c>
      <c r="F2" s="91">
        <f>$S2/(1+($AC$6-$O2+$P2)/36500)^$N2</f>
        <v>98990.334254539412</v>
      </c>
      <c r="G2" s="91">
        <f>$S2/(1+($AC$7-$O2+$P2)/36500)^$N2</f>
        <v>99016.088630749509</v>
      </c>
      <c r="H2" s="91">
        <f>$S2/(1+($AC$8-$O2+$P2)/36500)^$N2</f>
        <v>99041.850060247903</v>
      </c>
      <c r="I2" s="91">
        <f>$S2/(1+($AC$9-$O2+$P2)/36500)^$N2</f>
        <v>99067.618545062491</v>
      </c>
      <c r="J2" s="91">
        <f>$S2/(1+($AC$10-$O2+$P2)/36500)^$N2</f>
        <v>99093.394087222186</v>
      </c>
      <c r="K2" s="91">
        <f>$S2/(1+($AC$11-$O2+$P2)/36500)^$N2</f>
        <v>99119.176688757187</v>
      </c>
      <c r="L2" s="91">
        <f>$S2/(1+($AC$5-$O2+$P2)/36500)^$N2</f>
        <v>98964.586929589364</v>
      </c>
      <c r="M2" s="90" t="s">
        <v>999</v>
      </c>
      <c r="N2" s="90">
        <f>132-$AD$19</f>
        <v>19</v>
      </c>
      <c r="O2" s="90">
        <v>0</v>
      </c>
      <c r="P2" s="90">
        <v>0</v>
      </c>
      <c r="Q2" s="90">
        <v>0</v>
      </c>
      <c r="R2" s="90">
        <f t="shared" ref="R2:R31" si="0">N2/30.5</f>
        <v>0.62295081967213117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87152.109375</v>
      </c>
      <c r="AA2" s="3">
        <f t="shared" ref="AA2:AA49" si="1">Y2+AA1*(1+$AC$2/1200)</f>
        <v>1185</v>
      </c>
      <c r="AB2" t="s">
        <v>61</v>
      </c>
      <c r="AC2">
        <v>23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>
      <c r="A3" s="92" t="s">
        <v>970</v>
      </c>
      <c r="B3" s="93">
        <f t="shared" ref="B3:B31" si="2">$S3/(1+($AC$2-$O3+$P3)/36500)^$N3</f>
        <v>96655.538158491967</v>
      </c>
      <c r="C3" s="93">
        <f t="shared" ref="C3:C31" si="3">$S3/(1+($AC$3-$O3+$P3)/36500)^$N3</f>
        <v>96941.783373626735</v>
      </c>
      <c r="D3" s="93">
        <f t="shared" ref="D3:D31" si="4">$S3/(1+($AC$4-$O3+$P3)/36500)^$N3</f>
        <v>97013.479489655467</v>
      </c>
      <c r="E3" s="93">
        <f t="shared" ref="E3:E31" si="5">$S3/(1+($AC$5-$O3+$P3)/36500)^$N3</f>
        <v>97085.229613314819</v>
      </c>
      <c r="F3" s="93">
        <f t="shared" ref="F3:F31" si="6">$S3/(1+($AC$6-$O3+$P3)/36500)^$N3</f>
        <v>97157.033786029831</v>
      </c>
      <c r="G3" s="93">
        <f t="shared" ref="G3:G31" si="7">$S3/(1+($AC$7-$O3+$P3)/36500)^$N3</f>
        <v>97228.892049254471</v>
      </c>
      <c r="H3" s="93">
        <f t="shared" ref="H3:H31" si="8">$S3/(1+($AC$8-$O3+$P3)/36500)^$N3</f>
        <v>97300.804444478475</v>
      </c>
      <c r="I3" s="93">
        <f t="shared" ref="I3:I31" si="9">$S3/(1+($AC$9-$O3+$P3)/36500)^$N3</f>
        <v>97372.771013221267</v>
      </c>
      <c r="J3" s="93">
        <f t="shared" ref="J3:J31" si="10">$S3/(1+($AC$10-$O3+$P3)/36500)^$N3</f>
        <v>97444.791797035839</v>
      </c>
      <c r="K3" s="93">
        <f t="shared" ref="K3:K31" si="11">$S3/(1+($AC$11-$O3+$P3)/36500)^$N3</f>
        <v>97516.866837509733</v>
      </c>
      <c r="L3" s="93">
        <f t="shared" ref="L3:L31" si="12">$S3/(1+($AC$5-$O3+$P3)/36500)^$N3</f>
        <v>97085.229613314819</v>
      </c>
      <c r="M3" s="92" t="s">
        <v>1000</v>
      </c>
      <c r="N3" s="92">
        <f>167-$AD$19</f>
        <v>54</v>
      </c>
      <c r="O3" s="92">
        <v>0</v>
      </c>
      <c r="P3" s="92">
        <v>0</v>
      </c>
      <c r="Q3" s="92">
        <v>0</v>
      </c>
      <c r="R3" s="92">
        <f t="shared" si="0"/>
        <v>1.7704918032786885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88836.142321777341</v>
      </c>
      <c r="AA3" s="3">
        <f t="shared" si="1"/>
        <v>2392.7124999999996</v>
      </c>
      <c r="AC3">
        <v>21</v>
      </c>
    </row>
    <row r="4" spans="1:39">
      <c r="A4" s="94" t="s">
        <v>971</v>
      </c>
      <c r="B4" s="95">
        <f t="shared" si="2"/>
        <v>94905.844321600132</v>
      </c>
      <c r="C4" s="95">
        <f t="shared" si="3"/>
        <v>95338.192711435928</v>
      </c>
      <c r="D4" s="95">
        <f t="shared" si="4"/>
        <v>95446.590918877977</v>
      </c>
      <c r="E4" s="95">
        <f t="shared" si="5"/>
        <v>95555.113860197758</v>
      </c>
      <c r="F4" s="95">
        <f t="shared" si="6"/>
        <v>95663.761680639756</v>
      </c>
      <c r="G4" s="95">
        <f t="shared" si="7"/>
        <v>95772.53452561445</v>
      </c>
      <c r="H4" s="95">
        <f t="shared" si="8"/>
        <v>95881.43254070876</v>
      </c>
      <c r="I4" s="95">
        <f t="shared" si="9"/>
        <v>95990.455871677026</v>
      </c>
      <c r="J4" s="95">
        <f t="shared" si="10"/>
        <v>96099.604664447164</v>
      </c>
      <c r="K4" s="95">
        <f t="shared" si="11"/>
        <v>96208.879065121873</v>
      </c>
      <c r="L4" s="95">
        <f t="shared" si="12"/>
        <v>95555.113860197758</v>
      </c>
      <c r="M4" s="94" t="s">
        <v>1001</v>
      </c>
      <c r="N4" s="94">
        <f>196-$AD$19</f>
        <v>83</v>
      </c>
      <c r="O4" s="94">
        <v>0</v>
      </c>
      <c r="P4" s="94">
        <v>0</v>
      </c>
      <c r="Q4" s="94">
        <v>0</v>
      </c>
      <c r="R4" s="94">
        <f t="shared" si="0"/>
        <v>2.721311475409836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90552.715696849176</v>
      </c>
      <c r="AA4" s="3">
        <f t="shared" si="1"/>
        <v>3623.5728229166662</v>
      </c>
      <c r="AC4">
        <v>20.5</v>
      </c>
    </row>
    <row r="5" spans="1:39">
      <c r="A5" s="90" t="s">
        <v>972</v>
      </c>
      <c r="B5" s="91">
        <f t="shared" si="2"/>
        <v>73534.904283877637</v>
      </c>
      <c r="C5" s="91">
        <f t="shared" si="3"/>
        <v>75526.516035016975</v>
      </c>
      <c r="D5" s="91">
        <f t="shared" si="4"/>
        <v>76032.808177835424</v>
      </c>
      <c r="E5" s="91">
        <f t="shared" si="5"/>
        <v>76542.501252449758</v>
      </c>
      <c r="F5" s="91">
        <f t="shared" si="6"/>
        <v>77055.618151087983</v>
      </c>
      <c r="G5" s="91">
        <f t="shared" si="7"/>
        <v>77572.181920361327</v>
      </c>
      <c r="H5" s="91">
        <f t="shared" si="8"/>
        <v>78092.215762357082</v>
      </c>
      <c r="I5" s="91">
        <f t="shared" si="9"/>
        <v>78615.743035645035</v>
      </c>
      <c r="J5" s="91">
        <f t="shared" si="10"/>
        <v>79142.787256363139</v>
      </c>
      <c r="K5" s="91">
        <f t="shared" si="11"/>
        <v>79673.372099289161</v>
      </c>
      <c r="L5" s="91">
        <f t="shared" si="12"/>
        <v>76542.501252449758</v>
      </c>
      <c r="M5" s="90" t="s">
        <v>1002</v>
      </c>
      <c r="N5" s="90">
        <f>601-$AD$19</f>
        <v>488</v>
      </c>
      <c r="O5" s="90">
        <v>0</v>
      </c>
      <c r="P5" s="90">
        <v>0</v>
      </c>
      <c r="Q5" s="90">
        <v>0</v>
      </c>
      <c r="R5" s="90">
        <f t="shared" si="0"/>
        <v>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92302.458276199744</v>
      </c>
      <c r="AA5" s="3">
        <f t="shared" si="1"/>
        <v>4878.0246353559014</v>
      </c>
      <c r="AB5" t="s">
        <v>953</v>
      </c>
      <c r="AC5">
        <v>20</v>
      </c>
    </row>
    <row r="6" spans="1:39">
      <c r="A6" s="92" t="s">
        <v>973</v>
      </c>
      <c r="B6" s="93">
        <f t="shared" si="2"/>
        <v>90469.245044305761</v>
      </c>
      <c r="C6" s="93">
        <f t="shared" si="3"/>
        <v>91260.407417610913</v>
      </c>
      <c r="D6" s="93">
        <f t="shared" si="4"/>
        <v>91459.28353180096</v>
      </c>
      <c r="E6" s="93">
        <f t="shared" si="5"/>
        <v>91658.595771667053</v>
      </c>
      <c r="F6" s="93">
        <f t="shared" si="6"/>
        <v>91858.34509960674</v>
      </c>
      <c r="G6" s="93">
        <f t="shared" si="7"/>
        <v>92058.532480145164</v>
      </c>
      <c r="H6" s="93">
        <f t="shared" si="8"/>
        <v>92259.158879958704</v>
      </c>
      <c r="I6" s="93">
        <f t="shared" si="9"/>
        <v>92460.225267862581</v>
      </c>
      <c r="J6" s="93">
        <f t="shared" si="10"/>
        <v>92661.732614826557</v>
      </c>
      <c r="K6" s="93">
        <f t="shared" si="11"/>
        <v>92863.68189398211</v>
      </c>
      <c r="L6" s="93">
        <f t="shared" si="12"/>
        <v>91658.595771667053</v>
      </c>
      <c r="M6" s="92" t="s">
        <v>1003</v>
      </c>
      <c r="N6" s="92">
        <f>272-$AD$19</f>
        <v>159</v>
      </c>
      <c r="O6" s="92">
        <v>0</v>
      </c>
      <c r="P6" s="92">
        <v>0</v>
      </c>
      <c r="Q6" s="92">
        <v>0</v>
      </c>
      <c r="R6" s="92">
        <f t="shared" si="0"/>
        <v>5.2131147540983607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94086.01098559922</v>
      </c>
      <c r="AA6" s="3">
        <f t="shared" si="1"/>
        <v>6156.5201075335553</v>
      </c>
      <c r="AC6">
        <v>19.5</v>
      </c>
    </row>
    <row r="7" spans="1:39">
      <c r="A7" s="94" t="s">
        <v>974</v>
      </c>
      <c r="B7" s="95">
        <f t="shared" si="2"/>
        <v>74843.439668498002</v>
      </c>
      <c r="C7" s="95">
        <f t="shared" si="3"/>
        <v>76752.714729564104</v>
      </c>
      <c r="D7" s="95">
        <f t="shared" si="4"/>
        <v>77237.612468449282</v>
      </c>
      <c r="E7" s="95">
        <f t="shared" si="5"/>
        <v>77725.580329286982</v>
      </c>
      <c r="F7" s="95">
        <f t="shared" si="6"/>
        <v>78216.637792947615</v>
      </c>
      <c r="G7" s="95">
        <f t="shared" si="7"/>
        <v>78710.804464159286</v>
      </c>
      <c r="H7" s="95">
        <f t="shared" si="8"/>
        <v>79208.100072344459</v>
      </c>
      <c r="I7" s="95">
        <f t="shared" si="9"/>
        <v>79708.544472372188</v>
      </c>
      <c r="J7" s="95">
        <f t="shared" si="10"/>
        <v>80212.157645384359</v>
      </c>
      <c r="K7" s="95">
        <f t="shared" si="11"/>
        <v>80718.959699606668</v>
      </c>
      <c r="L7" s="95">
        <f t="shared" si="12"/>
        <v>77725.580329286982</v>
      </c>
      <c r="M7" s="94" t="s">
        <v>1004</v>
      </c>
      <c r="N7" s="94">
        <f>573-$AD$19</f>
        <v>460</v>
      </c>
      <c r="O7" s="94">
        <v>0</v>
      </c>
      <c r="P7" s="94">
        <v>0</v>
      </c>
      <c r="Q7" s="94">
        <v>0</v>
      </c>
      <c r="R7" s="94">
        <f t="shared" si="0"/>
        <v>15.081967213114755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95904.027135373035</v>
      </c>
      <c r="AA7" s="3">
        <f t="shared" si="1"/>
        <v>7459.5200762612812</v>
      </c>
      <c r="AC7">
        <v>19</v>
      </c>
    </row>
    <row r="8" spans="1:39">
      <c r="A8" s="90" t="s">
        <v>975</v>
      </c>
      <c r="B8" s="91">
        <f t="shared" si="2"/>
        <v>89674.892058214973</v>
      </c>
      <c r="C8" s="91">
        <f t="shared" si="3"/>
        <v>90528.485815756329</v>
      </c>
      <c r="D8" s="91">
        <f t="shared" si="4"/>
        <v>90743.158157834187</v>
      </c>
      <c r="E8" s="91">
        <f t="shared" si="5"/>
        <v>90958.342507063833</v>
      </c>
      <c r="F8" s="91">
        <f t="shared" si="6"/>
        <v>91174.040091654839</v>
      </c>
      <c r="G8" s="91">
        <f t="shared" si="7"/>
        <v>91390.252142769401</v>
      </c>
      <c r="H8" s="91">
        <f t="shared" si="8"/>
        <v>91606.979894550444</v>
      </c>
      <c r="I8" s="91">
        <f t="shared" si="9"/>
        <v>91824.224584110212</v>
      </c>
      <c r="J8" s="91">
        <f t="shared" si="10"/>
        <v>92041.987451549096</v>
      </c>
      <c r="K8" s="91">
        <f t="shared" si="11"/>
        <v>92260.269739965603</v>
      </c>
      <c r="L8" s="91">
        <f t="shared" si="12"/>
        <v>90958.342507063833</v>
      </c>
      <c r="M8" s="90" t="s">
        <v>1006</v>
      </c>
      <c r="N8" s="90">
        <f>286-$AD$19</f>
        <v>173</v>
      </c>
      <c r="O8" s="90">
        <v>0</v>
      </c>
      <c r="P8" s="90">
        <v>0</v>
      </c>
      <c r="Q8" s="90">
        <v>0</v>
      </c>
      <c r="R8" s="90">
        <f t="shared" si="0"/>
        <v>5.6721311475409832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97757.17265970759</v>
      </c>
      <c r="AA8" s="3">
        <f t="shared" si="1"/>
        <v>8787.4942110562879</v>
      </c>
      <c r="AC8">
        <v>18.5</v>
      </c>
    </row>
    <row r="9" spans="1:39">
      <c r="A9" s="92" t="s">
        <v>991</v>
      </c>
      <c r="B9" s="93">
        <f t="shared" si="2"/>
        <v>79910.884347089086</v>
      </c>
      <c r="C9" s="93">
        <f t="shared" si="3"/>
        <v>81484.03952039365</v>
      </c>
      <c r="D9" s="93">
        <f t="shared" si="4"/>
        <v>81882.157377821699</v>
      </c>
      <c r="E9" s="93">
        <f t="shared" si="5"/>
        <v>82282.225865435714</v>
      </c>
      <c r="F9" s="93">
        <f t="shared" si="6"/>
        <v>82684.254567513679</v>
      </c>
      <c r="G9" s="93">
        <f t="shared" si="7"/>
        <v>83088.253115538348</v>
      </c>
      <c r="H9" s="93">
        <f t="shared" si="8"/>
        <v>83494.231188468591</v>
      </c>
      <c r="I9" s="93">
        <f t="shared" si="9"/>
        <v>83902.198512939794</v>
      </c>
      <c r="J9" s="93">
        <f t="shared" si="10"/>
        <v>84312.164863520913</v>
      </c>
      <c r="K9" s="93">
        <f t="shared" si="11"/>
        <v>84724.14006295662</v>
      </c>
      <c r="L9" s="93">
        <f t="shared" si="12"/>
        <v>82282.225865435714</v>
      </c>
      <c r="M9" s="92" t="s">
        <v>1005</v>
      </c>
      <c r="N9" s="92">
        <f>469-$AD$19</f>
        <v>356</v>
      </c>
      <c r="O9" s="92">
        <v>0</v>
      </c>
      <c r="P9" s="92">
        <v>0</v>
      </c>
      <c r="Q9" s="92">
        <v>0</v>
      </c>
      <c r="R9" s="92">
        <f t="shared" si="0"/>
        <v>11.672131147540984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99646.126360580063</v>
      </c>
      <c r="AA9" s="3">
        <f t="shared" si="1"/>
        <v>10140.921183434866</v>
      </c>
      <c r="AC9">
        <v>18</v>
      </c>
    </row>
    <row r="10" spans="1:39">
      <c r="A10" s="94" t="s">
        <v>992</v>
      </c>
      <c r="B10" s="95">
        <f t="shared" si="2"/>
        <v>79910.884347089086</v>
      </c>
      <c r="C10" s="95">
        <f t="shared" si="3"/>
        <v>81484.03952039365</v>
      </c>
      <c r="D10" s="95">
        <f t="shared" si="4"/>
        <v>81882.157377821699</v>
      </c>
      <c r="E10" s="95">
        <f t="shared" si="5"/>
        <v>82282.225865435714</v>
      </c>
      <c r="F10" s="95">
        <f t="shared" si="6"/>
        <v>82684.254567513679</v>
      </c>
      <c r="G10" s="95">
        <f t="shared" si="7"/>
        <v>83088.253115538348</v>
      </c>
      <c r="H10" s="95">
        <f t="shared" si="8"/>
        <v>83494.231188468591</v>
      </c>
      <c r="I10" s="95">
        <f t="shared" si="9"/>
        <v>83902.198512939794</v>
      </c>
      <c r="J10" s="95">
        <f t="shared" si="10"/>
        <v>84312.164863520913</v>
      </c>
      <c r="K10" s="95">
        <f t="shared" si="11"/>
        <v>84724.14006295662</v>
      </c>
      <c r="L10" s="95">
        <f t="shared" si="12"/>
        <v>82282.225865435714</v>
      </c>
      <c r="M10" s="94" t="s">
        <v>1005</v>
      </c>
      <c r="N10" s="94">
        <f>469-$AD$19</f>
        <v>356</v>
      </c>
      <c r="O10" s="94">
        <v>0</v>
      </c>
      <c r="P10" s="94">
        <v>0</v>
      </c>
      <c r="Q10" s="94">
        <v>0</v>
      </c>
      <c r="R10" s="94">
        <f t="shared" si="0"/>
        <v>11.672131147540984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101571.58015640169</v>
      </c>
      <c r="AA10" s="3">
        <f t="shared" si="1"/>
        <v>11520.288839450701</v>
      </c>
      <c r="AC10">
        <v>17.5</v>
      </c>
      <c r="AF10" s="26"/>
    </row>
    <row r="11" spans="1:39">
      <c r="A11" s="90" t="s">
        <v>993</v>
      </c>
      <c r="B11" s="91">
        <f t="shared" si="2"/>
        <v>72568.538398357894</v>
      </c>
      <c r="C11" s="91">
        <f t="shared" si="3"/>
        <v>74619.739961027095</v>
      </c>
      <c r="D11" s="91">
        <f t="shared" si="4"/>
        <v>75141.554205328561</v>
      </c>
      <c r="E11" s="91">
        <f t="shared" si="5"/>
        <v>75667.024704696742</v>
      </c>
      <c r="F11" s="91">
        <f t="shared" si="6"/>
        <v>76196.177128426032</v>
      </c>
      <c r="G11" s="91">
        <f t="shared" si="7"/>
        <v>76729.037326355829</v>
      </c>
      <c r="H11" s="91">
        <f t="shared" si="8"/>
        <v>77265.631330193661</v>
      </c>
      <c r="I11" s="91">
        <f t="shared" si="9"/>
        <v>77805.985354751683</v>
      </c>
      <c r="J11" s="91">
        <f t="shared" si="10"/>
        <v>78350.125799265836</v>
      </c>
      <c r="K11" s="91">
        <f t="shared" si="11"/>
        <v>78898.079248702794</v>
      </c>
      <c r="L11" s="91">
        <f t="shared" si="12"/>
        <v>75667.024704696742</v>
      </c>
      <c r="M11" s="90" t="s">
        <v>1009</v>
      </c>
      <c r="N11" s="90">
        <f>622-$AD$19</f>
        <v>509</v>
      </c>
      <c r="O11" s="90">
        <v>0</v>
      </c>
      <c r="P11" s="90">
        <v>0</v>
      </c>
      <c r="Q11" s="90">
        <v>0</v>
      </c>
      <c r="R11" s="90">
        <f t="shared" si="0"/>
        <v>16.688524590163933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103534.23933546549</v>
      </c>
      <c r="AA11" s="3">
        <f t="shared" si="1"/>
        <v>12926.094375540171</v>
      </c>
      <c r="AC11">
        <v>17</v>
      </c>
      <c r="AF11" s="26"/>
    </row>
    <row r="12" spans="1:39">
      <c r="A12" s="92" t="s">
        <v>994</v>
      </c>
      <c r="B12" s="93">
        <f>$S12/(1+($AC$2-$O12+$P12)/36500)^$N12</f>
        <v>91213.157738134716</v>
      </c>
      <c r="C12" s="93">
        <f>$S12/(1+($AC$3-$O12+$P12)/36500)^$N12</f>
        <v>91945.346533477103</v>
      </c>
      <c r="D12" s="93">
        <f t="shared" si="4"/>
        <v>92129.316549582101</v>
      </c>
      <c r="E12" s="93">
        <f t="shared" si="5"/>
        <v>92313.657190734419</v>
      </c>
      <c r="F12" s="93">
        <f t="shared" si="6"/>
        <v>92498.369208687072</v>
      </c>
      <c r="G12" s="93">
        <f t="shared" si="7"/>
        <v>92683.453356719561</v>
      </c>
      <c r="H12" s="93">
        <f t="shared" si="8"/>
        <v>92868.910389658369</v>
      </c>
      <c r="I12" s="93">
        <f t="shared" si="9"/>
        <v>93054.74106386448</v>
      </c>
      <c r="J12" s="93">
        <f t="shared" si="10"/>
        <v>93240.946137246487</v>
      </c>
      <c r="K12" s="93">
        <f t="shared" si="11"/>
        <v>93427.52636926595</v>
      </c>
      <c r="L12" s="93">
        <f t="shared" si="12"/>
        <v>92313.657190734419</v>
      </c>
      <c r="M12" s="92" t="s">
        <v>1010</v>
      </c>
      <c r="N12" s="92">
        <f>259-$AD$19</f>
        <v>146</v>
      </c>
      <c r="O12" s="92">
        <v>0</v>
      </c>
      <c r="P12" s="92">
        <v>0</v>
      </c>
      <c r="Q12" s="92">
        <v>0</v>
      </c>
      <c r="R12" s="92">
        <f t="shared" si="0"/>
        <v>4.7868852459016393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105534.82281429142</v>
      </c>
      <c r="AA12" s="3">
        <f t="shared" si="1"/>
        <v>14358.844517738024</v>
      </c>
      <c r="AF12" s="26"/>
    </row>
    <row r="13" spans="1:39">
      <c r="A13" s="94" t="s">
        <v>995</v>
      </c>
      <c r="B13" s="95">
        <f t="shared" si="2"/>
        <v>69744.972894665087</v>
      </c>
      <c r="C13" s="95">
        <f t="shared" si="3"/>
        <v>71964.211338900335</v>
      </c>
      <c r="D13" s="95">
        <f t="shared" si="4"/>
        <v>72529.987365332694</v>
      </c>
      <c r="E13" s="95">
        <f t="shared" si="5"/>
        <v>73100.219308532047</v>
      </c>
      <c r="F13" s="95">
        <f t="shared" si="6"/>
        <v>73674.942323975469</v>
      </c>
      <c r="G13" s="95">
        <f t="shared" si="7"/>
        <v>74254.191844962741</v>
      </c>
      <c r="H13" s="95">
        <f t="shared" si="8"/>
        <v>74838.003584871054</v>
      </c>
      <c r="I13" s="95">
        <f t="shared" si="9"/>
        <v>75426.41353932301</v>
      </c>
      <c r="J13" s="95">
        <f t="shared" si="10"/>
        <v>76019.457988452472</v>
      </c>
      <c r="K13" s="95">
        <f t="shared" si="11"/>
        <v>76617.173499164841</v>
      </c>
      <c r="L13" s="95">
        <f t="shared" si="12"/>
        <v>73100.219308532047</v>
      </c>
      <c r="M13" s="94" t="s">
        <v>1011</v>
      </c>
      <c r="N13" s="94">
        <f>685-$AD$19</f>
        <v>572</v>
      </c>
      <c r="O13" s="94">
        <v>0</v>
      </c>
      <c r="P13" s="94">
        <v>0</v>
      </c>
      <c r="Q13" s="94">
        <v>0</v>
      </c>
      <c r="R13" s="94">
        <f t="shared" si="0"/>
        <v>18.754098360655739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107574.06340096339</v>
      </c>
      <c r="AA13" s="3">
        <f t="shared" si="1"/>
        <v>15819.055704328001</v>
      </c>
      <c r="AF13" s="26"/>
    </row>
    <row r="14" spans="1:39">
      <c r="A14" s="90" t="s">
        <v>996</v>
      </c>
      <c r="B14" s="91">
        <f t="shared" si="2"/>
        <v>70986.067390140845</v>
      </c>
      <c r="C14" s="91">
        <f t="shared" si="3"/>
        <v>73132.57480421575</v>
      </c>
      <c r="D14" s="91">
        <f t="shared" si="4"/>
        <v>73679.286491198698</v>
      </c>
      <c r="E14" s="91">
        <f t="shared" si="5"/>
        <v>74230.092758720217</v>
      </c>
      <c r="F14" s="91">
        <f t="shared" si="6"/>
        <v>74785.024329719556</v>
      </c>
      <c r="G14" s="91">
        <f t="shared" si="7"/>
        <v>75344.112158058648</v>
      </c>
      <c r="H14" s="91">
        <f t="shared" si="8"/>
        <v>75907.387430314353</v>
      </c>
      <c r="I14" s="91">
        <f t="shared" si="9"/>
        <v>76474.881567483448</v>
      </c>
      <c r="J14" s="91">
        <f t="shared" si="10"/>
        <v>77046.62622677804</v>
      </c>
      <c r="K14" s="91">
        <f t="shared" si="11"/>
        <v>77622.653303412008</v>
      </c>
      <c r="L14" s="91">
        <f t="shared" si="12"/>
        <v>74230.092758720217</v>
      </c>
      <c r="M14" s="90" t="s">
        <v>1012</v>
      </c>
      <c r="N14" s="90">
        <f>657-$AD$19</f>
        <v>544</v>
      </c>
      <c r="O14" s="90">
        <v>0</v>
      </c>
      <c r="P14" s="90">
        <v>0</v>
      </c>
      <c r="Q14" s="90">
        <v>0</v>
      </c>
      <c r="R14" s="90">
        <f t="shared" si="0"/>
        <v>17.83606557377049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109652.70806355492</v>
      </c>
      <c r="AA14" s="3">
        <f t="shared" si="1"/>
        <v>17307.254271994287</v>
      </c>
      <c r="AF14" s="26"/>
    </row>
    <row r="15" spans="1:39">
      <c r="A15" s="92" t="s">
        <v>997</v>
      </c>
      <c r="B15" s="93">
        <f t="shared" si="2"/>
        <v>70986.067390140845</v>
      </c>
      <c r="C15" s="93">
        <f t="shared" si="3"/>
        <v>73132.57480421575</v>
      </c>
      <c r="D15" s="93">
        <f t="shared" si="4"/>
        <v>73679.286491198698</v>
      </c>
      <c r="E15" s="93">
        <f t="shared" si="5"/>
        <v>74230.092758720217</v>
      </c>
      <c r="F15" s="93">
        <f t="shared" si="6"/>
        <v>74785.024329719556</v>
      </c>
      <c r="G15" s="93">
        <f t="shared" si="7"/>
        <v>75344.112158058648</v>
      </c>
      <c r="H15" s="93">
        <f t="shared" si="8"/>
        <v>75907.387430314353</v>
      </c>
      <c r="I15" s="93">
        <f t="shared" si="9"/>
        <v>76474.881567483448</v>
      </c>
      <c r="J15" s="93">
        <f t="shared" si="10"/>
        <v>77046.62622677804</v>
      </c>
      <c r="K15" s="93">
        <f t="shared" si="11"/>
        <v>77622.653303412008</v>
      </c>
      <c r="L15" s="93">
        <f t="shared" si="12"/>
        <v>74230.092758720217</v>
      </c>
      <c r="M15" s="92" t="s">
        <v>1012</v>
      </c>
      <c r="N15" s="92">
        <f>657-$AD$19</f>
        <v>544</v>
      </c>
      <c r="O15" s="92">
        <v>0</v>
      </c>
      <c r="P15" s="92">
        <v>0</v>
      </c>
      <c r="Q15" s="92">
        <v>0</v>
      </c>
      <c r="R15" s="92">
        <f t="shared" si="0"/>
        <v>17.83606557377049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111771.51820374132</v>
      </c>
      <c r="AA15" s="3">
        <f t="shared" si="1"/>
        <v>18823.976645540843</v>
      </c>
      <c r="AC15" s="85">
        <f>AE2*((1+$AC$2/36500)^365)</f>
        <v>125850.88461297333</v>
      </c>
      <c r="AD15">
        <v>21.4</v>
      </c>
      <c r="AF15" s="26"/>
    </row>
    <row r="16" spans="1:39">
      <c r="A16" s="94" t="s">
        <v>998</v>
      </c>
      <c r="B16" s="95">
        <f t="shared" si="2"/>
        <v>73534.904283877637</v>
      </c>
      <c r="C16" s="95">
        <f t="shared" si="3"/>
        <v>75526.516035016975</v>
      </c>
      <c r="D16" s="95">
        <f t="shared" si="4"/>
        <v>76032.808177835424</v>
      </c>
      <c r="E16" s="95">
        <f t="shared" si="5"/>
        <v>76542.501252449758</v>
      </c>
      <c r="F16" s="95">
        <f t="shared" si="6"/>
        <v>77055.618151087983</v>
      </c>
      <c r="G16" s="95">
        <f>$S16/(1+($AC$7-$O16+$P16)/36500)^$N16</f>
        <v>77572.181920361327</v>
      </c>
      <c r="H16" s="95">
        <f t="shared" si="8"/>
        <v>78092.215762357082</v>
      </c>
      <c r="I16" s="95">
        <f t="shared" si="9"/>
        <v>78615.743035645035</v>
      </c>
      <c r="J16" s="95">
        <f t="shared" si="10"/>
        <v>79142.787256363139</v>
      </c>
      <c r="K16" s="95">
        <f t="shared" si="11"/>
        <v>79673.372099289161</v>
      </c>
      <c r="L16" s="95">
        <f t="shared" si="12"/>
        <v>76542.501252449758</v>
      </c>
      <c r="M16" s="94" t="s">
        <v>1002</v>
      </c>
      <c r="N16" s="94">
        <f>601-$AD$19</f>
        <v>488</v>
      </c>
      <c r="O16" s="94">
        <v>0</v>
      </c>
      <c r="P16" s="94">
        <v>0</v>
      </c>
      <c r="Q16" s="94">
        <v>0</v>
      </c>
      <c r="R16" s="94">
        <f t="shared" si="0"/>
        <v>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113931.26993569902</v>
      </c>
      <c r="AA16" s="3">
        <f t="shared" si="1"/>
        <v>20369.769531247039</v>
      </c>
      <c r="AF16" s="26"/>
    </row>
    <row r="17" spans="1:32">
      <c r="A17" s="172" t="s">
        <v>3899</v>
      </c>
      <c r="B17" s="174">
        <f>$S17/(1+($AC$2-$O17+$P17)/36500)^$N17</f>
        <v>77775.363085341814</v>
      </c>
      <c r="C17" s="174">
        <f t="shared" si="3"/>
        <v>79493.444179947925</v>
      </c>
      <c r="D17" s="174">
        <f t="shared" si="4"/>
        <v>79928.877105178122</v>
      </c>
      <c r="E17" s="174">
        <f t="shared" si="5"/>
        <v>80366.701166366431</v>
      </c>
      <c r="F17" s="174">
        <f t="shared" si="6"/>
        <v>80806.929527211934</v>
      </c>
      <c r="G17" s="174">
        <f t="shared" si="7"/>
        <v>81249.575424043243</v>
      </c>
      <c r="H17" s="174">
        <f t="shared" si="8"/>
        <v>81694.652166262575</v>
      </c>
      <c r="I17" s="174">
        <f t="shared" si="9"/>
        <v>82142.17313671195</v>
      </c>
      <c r="J17" s="174">
        <f t="shared" si="10"/>
        <v>82592.151792103745</v>
      </c>
      <c r="K17" s="174">
        <f t="shared" si="11"/>
        <v>83044.601663434718</v>
      </c>
      <c r="L17" s="174">
        <f t="shared" si="12"/>
        <v>80366.701166366431</v>
      </c>
      <c r="M17" s="172" t="s">
        <v>3900</v>
      </c>
      <c r="N17" s="172">
        <f>512-$AD$19</f>
        <v>399</v>
      </c>
      <c r="O17" s="172">
        <v>0</v>
      </c>
      <c r="P17" s="172">
        <v>0</v>
      </c>
      <c r="Q17" s="172">
        <v>0</v>
      </c>
      <c r="R17" s="172">
        <f t="shared" si="0"/>
        <v>13.081967213114755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116132.75437039403</v>
      </c>
      <c r="AA17" s="3">
        <f t="shared" si="1"/>
        <v>21945.190113929271</v>
      </c>
      <c r="AF17" s="26"/>
    </row>
    <row r="18" spans="1:32">
      <c r="A18" s="94" t="s">
        <v>3954</v>
      </c>
      <c r="B18" s="95">
        <f>$S18/(1+($AC$2-$O18+$P18)/36500)^$N18</f>
        <v>61605.272156819417</v>
      </c>
      <c r="C18" s="95">
        <f t="shared" si="3"/>
        <v>64254.968904087174</v>
      </c>
      <c r="D18" s="95">
        <f t="shared" si="4"/>
        <v>64935.035687160133</v>
      </c>
      <c r="E18" s="95">
        <f t="shared" si="5"/>
        <v>65622.309673402095</v>
      </c>
      <c r="F18" s="95">
        <f t="shared" si="6"/>
        <v>66316.867343482707</v>
      </c>
      <c r="G18" s="95">
        <f t="shared" si="7"/>
        <v>67018.785990691889</v>
      </c>
      <c r="H18" s="95">
        <f t="shared" si="8"/>
        <v>67728.143729652264</v>
      </c>
      <c r="I18" s="95">
        <f t="shared" si="9"/>
        <v>68445.019504998083</v>
      </c>
      <c r="J18" s="95">
        <f t="shared" si="10"/>
        <v>69169.493100244115</v>
      </c>
      <c r="K18" s="95">
        <f t="shared" si="11"/>
        <v>69901.645146720708</v>
      </c>
      <c r="L18" s="95">
        <f t="shared" si="12"/>
        <v>65622.309673402095</v>
      </c>
      <c r="M18" s="94" t="s">
        <v>3955</v>
      </c>
      <c r="N18" s="94">
        <f>882-$AD$19</f>
        <v>769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118376.77790536362</v>
      </c>
      <c r="AA18" s="3">
        <f t="shared" si="1"/>
        <v>23550.806257779579</v>
      </c>
      <c r="AC18" t="s">
        <v>1014</v>
      </c>
      <c r="AD18" t="s">
        <v>1053</v>
      </c>
      <c r="AF18" s="26"/>
    </row>
    <row r="19" spans="1:32">
      <c r="A19" s="90" t="s">
        <v>1016</v>
      </c>
      <c r="B19" s="91">
        <f t="shared" si="2"/>
        <v>79449.860508282858</v>
      </c>
      <c r="C19" s="91">
        <f t="shared" si="3"/>
        <v>85240.069670010183</v>
      </c>
      <c r="D19" s="91">
        <f t="shared" si="4"/>
        <v>86752.444629217411</v>
      </c>
      <c r="E19" s="91">
        <f t="shared" si="5"/>
        <v>88291.674223595764</v>
      </c>
      <c r="F19" s="91">
        <f t="shared" si="6"/>
        <v>89858.235677739474</v>
      </c>
      <c r="G19" s="91">
        <f t="shared" si="7"/>
        <v>91452.614703636267</v>
      </c>
      <c r="H19" s="91">
        <f t="shared" si="8"/>
        <v>93075.305651661562</v>
      </c>
      <c r="I19" s="91">
        <f t="shared" si="9"/>
        <v>94726.811664185152</v>
      </c>
      <c r="J19" s="91">
        <f t="shared" si="10"/>
        <v>96407.644832381746</v>
      </c>
      <c r="K19" s="91">
        <f t="shared" si="11"/>
        <v>98118.326355179888</v>
      </c>
      <c r="L19" s="91">
        <f t="shared" si="12"/>
        <v>88291.674223595764</v>
      </c>
      <c r="M19" s="90" t="s">
        <v>1017</v>
      </c>
      <c r="N19" s="90">
        <f>1397-$AD$19</f>
        <v>1284</v>
      </c>
      <c r="O19" s="90">
        <v>17</v>
      </c>
      <c r="P19" s="90">
        <f>$AI$2</f>
        <v>0.54</v>
      </c>
      <c r="Q19" s="90">
        <v>6</v>
      </c>
      <c r="R19" s="90">
        <f t="shared" si="0"/>
        <v>42.098360655737707</v>
      </c>
      <c r="S19" s="91">
        <v>100000</v>
      </c>
      <c r="T19" s="91">
        <v>96000</v>
      </c>
      <c r="U19" s="91">
        <f t="shared" si="13"/>
        <v>178389.11685184005</v>
      </c>
      <c r="W19">
        <v>98</v>
      </c>
      <c r="X19">
        <v>6</v>
      </c>
      <c r="Y19">
        <f t="shared" si="15"/>
        <v>1185</v>
      </c>
      <c r="Z19" s="3">
        <f t="shared" si="14"/>
        <v>120664.16252009747</v>
      </c>
      <c r="AA19" s="3">
        <f t="shared" si="1"/>
        <v>25187.196711053686</v>
      </c>
      <c r="AC19" t="s">
        <v>1062</v>
      </c>
      <c r="AD19">
        <v>113</v>
      </c>
      <c r="AF19" s="26"/>
    </row>
    <row r="20" spans="1:32">
      <c r="A20" s="92" t="s">
        <v>964</v>
      </c>
      <c r="B20" s="93">
        <f>$S20/(1+($AC$2-$O20+$P20)/36500)^$N20</f>
        <v>96940.317258047027</v>
      </c>
      <c r="C20" s="93">
        <f t="shared" si="3"/>
        <v>99365.682365896428</v>
      </c>
      <c r="D20" s="93">
        <f>$S20/(1+($AC$4-$O20+$P20)/36500)^$N20</f>
        <v>99981.467474720077</v>
      </c>
      <c r="E20" s="93">
        <f t="shared" si="5"/>
        <v>100601.07721684714</v>
      </c>
      <c r="F20" s="93">
        <f t="shared" si="6"/>
        <v>101224.53539991516</v>
      </c>
      <c r="G20" s="93">
        <f t="shared" si="7"/>
        <v>101851.86598007692</v>
      </c>
      <c r="H20" s="93">
        <f t="shared" si="8"/>
        <v>102483.09306295136</v>
      </c>
      <c r="I20" s="93">
        <f t="shared" si="9"/>
        <v>103118.24090452866</v>
      </c>
      <c r="J20" s="93">
        <f t="shared" si="10"/>
        <v>103757.33391215389</v>
      </c>
      <c r="K20" s="93">
        <f t="shared" si="11"/>
        <v>104400.39664543704</v>
      </c>
      <c r="L20" s="93">
        <f t="shared" si="12"/>
        <v>100601.07721684714</v>
      </c>
      <c r="M20" s="92" t="s">
        <v>983</v>
      </c>
      <c r="N20" s="92">
        <f>564-$AD$19</f>
        <v>451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14.78688524590164</v>
      </c>
      <c r="S20" s="93">
        <v>100000</v>
      </c>
      <c r="T20" s="93">
        <v>100000</v>
      </c>
      <c r="U20" s="93">
        <f t="shared" si="13"/>
        <v>128791.88173559582</v>
      </c>
      <c r="W20">
        <v>98</v>
      </c>
      <c r="X20" s="9">
        <v>7</v>
      </c>
      <c r="Y20">
        <f t="shared" si="15"/>
        <v>1185</v>
      </c>
      <c r="Z20" s="3">
        <f t="shared" si="14"/>
        <v>122995.74607712643</v>
      </c>
      <c r="AA20" s="3">
        <f t="shared" si="1"/>
        <v>26854.951314682214</v>
      </c>
      <c r="AF20" s="26"/>
    </row>
    <row r="21" spans="1:32">
      <c r="A21" s="94" t="s">
        <v>965</v>
      </c>
      <c r="B21" s="95">
        <f t="shared" si="2"/>
        <v>90814.902061351371</v>
      </c>
      <c r="C21" s="95">
        <f t="shared" si="3"/>
        <v>93173.435193512531</v>
      </c>
      <c r="D21" s="95">
        <f t="shared" si="4"/>
        <v>93772.598383698802</v>
      </c>
      <c r="E21" s="95">
        <f t="shared" si="5"/>
        <v>94375.622852115528</v>
      </c>
      <c r="F21" s="95">
        <f t="shared" si="6"/>
        <v>94982.533535959868</v>
      </c>
      <c r="G21" s="95">
        <f t="shared" si="7"/>
        <v>95593.355533868409</v>
      </c>
      <c r="H21" s="95">
        <f t="shared" si="8"/>
        <v>96208.114106885288</v>
      </c>
      <c r="I21" s="95">
        <f t="shared" si="9"/>
        <v>96826.834679574458</v>
      </c>
      <c r="J21" s="95">
        <f t="shared" si="10"/>
        <v>97449.542841061018</v>
      </c>
      <c r="K21" s="95">
        <f t="shared" si="11"/>
        <v>98076.264346069744</v>
      </c>
      <c r="L21" s="95">
        <f t="shared" si="12"/>
        <v>94375.622852115528</v>
      </c>
      <c r="M21" s="94" t="s">
        <v>984</v>
      </c>
      <c r="N21" s="94">
        <f>581-$AD$19</f>
        <v>468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15.344262295081966</v>
      </c>
      <c r="S21" s="95">
        <v>100000</v>
      </c>
      <c r="T21" s="95">
        <v>92000</v>
      </c>
      <c r="U21" s="95">
        <f t="shared" si="13"/>
        <v>121952.86594495355</v>
      </c>
      <c r="W21">
        <v>98</v>
      </c>
      <c r="X21">
        <v>8</v>
      </c>
      <c r="Y21">
        <f t="shared" si="15"/>
        <v>1185</v>
      </c>
      <c r="Z21" s="3">
        <f t="shared" si="14"/>
        <v>125372.38262892923</v>
      </c>
      <c r="AA21" s="3">
        <f t="shared" si="1"/>
        <v>28554.671214880287</v>
      </c>
      <c r="AE21" s="25"/>
      <c r="AF21" s="26"/>
    </row>
    <row r="22" spans="1:32">
      <c r="A22" s="90" t="s">
        <v>958</v>
      </c>
      <c r="B22" s="91">
        <f>$S22/(1+($AC$2-$O22+$P22)/36500)^$N22</f>
        <v>96480.535502919214</v>
      </c>
      <c r="C22" s="91">
        <f t="shared" si="3"/>
        <v>99268.99150585715</v>
      </c>
      <c r="D22" s="91">
        <f t="shared" si="4"/>
        <v>99978.632424571697</v>
      </c>
      <c r="E22" s="91">
        <f t="shared" si="5"/>
        <v>100693.35615515255</v>
      </c>
      <c r="F22" s="91">
        <f t="shared" si="6"/>
        <v>101413.19917368957</v>
      </c>
      <c r="G22" s="91">
        <f t="shared" si="7"/>
        <v>102138.19821852955</v>
      </c>
      <c r="H22" s="91">
        <f t="shared" si="8"/>
        <v>102868.39029219095</v>
      </c>
      <c r="I22" s="91">
        <f t="shared" si="9"/>
        <v>103603.81266323297</v>
      </c>
      <c r="J22" s="91">
        <f t="shared" si="10"/>
        <v>104344.50286822263</v>
      </c>
      <c r="K22" s="91">
        <f t="shared" si="11"/>
        <v>105090.49871362335</v>
      </c>
      <c r="L22" s="91">
        <f t="shared" si="12"/>
        <v>100693.35615515255</v>
      </c>
      <c r="M22" s="90" t="s">
        <v>985</v>
      </c>
      <c r="N22" s="90">
        <f>633-$AD$19</f>
        <v>520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17.049180327868854</v>
      </c>
      <c r="S22" s="91">
        <v>100000</v>
      </c>
      <c r="T22" s="91">
        <v>100000</v>
      </c>
      <c r="U22" s="91">
        <f t="shared" si="13"/>
        <v>133875.37377193049</v>
      </c>
      <c r="W22">
        <v>98</v>
      </c>
      <c r="X22" s="9">
        <v>9</v>
      </c>
      <c r="Y22">
        <f t="shared" si="15"/>
        <v>1185</v>
      </c>
      <c r="Z22" s="3">
        <f t="shared" si="14"/>
        <v>127794.94273076947</v>
      </c>
      <c r="AA22" s="3">
        <f t="shared" si="1"/>
        <v>30286.969079832157</v>
      </c>
      <c r="AE22" s="25"/>
      <c r="AF22" s="26"/>
    </row>
    <row r="23" spans="1:32">
      <c r="A23" s="92" t="s">
        <v>951</v>
      </c>
      <c r="B23" s="93">
        <f>$S23/(1+($AC$2-$O23+$P23)/36500)^$N23</f>
        <v>96029.550838193129</v>
      </c>
      <c r="C23" s="93">
        <f t="shared" si="3"/>
        <v>99173.794015592968</v>
      </c>
      <c r="D23" s="93">
        <f t="shared" si="4"/>
        <v>99975.838540757497</v>
      </c>
      <c r="E23" s="93">
        <f t="shared" si="5"/>
        <v>100784.38053119036</v>
      </c>
      <c r="F23" s="93">
        <f t="shared" si="6"/>
        <v>101599.47271379018</v>
      </c>
      <c r="G23" s="93">
        <f t="shared" si="7"/>
        <v>102421.16824404967</v>
      </c>
      <c r="H23" s="93">
        <f t="shared" si="8"/>
        <v>103249.52070957424</v>
      </c>
      <c r="I23" s="93">
        <f t="shared" si="9"/>
        <v>104084.5841335623</v>
      </c>
      <c r="J23" s="93">
        <f t="shared" si="10"/>
        <v>104926.41297840925</v>
      </c>
      <c r="K23" s="93">
        <f t="shared" si="11"/>
        <v>105775.06214923607</v>
      </c>
      <c r="L23" s="93">
        <f t="shared" si="12"/>
        <v>100784.38053119036</v>
      </c>
      <c r="M23" s="92" t="s">
        <v>986</v>
      </c>
      <c r="N23" s="92">
        <f>701-$AD$19</f>
        <v>588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19.278688524590162</v>
      </c>
      <c r="S23" s="93">
        <v>100000</v>
      </c>
      <c r="T23" s="93">
        <v>100000</v>
      </c>
      <c r="U23" s="93">
        <f t="shared" si="13"/>
        <v>139081.46254578963</v>
      </c>
      <c r="W23">
        <v>98</v>
      </c>
      <c r="X23">
        <v>10</v>
      </c>
      <c r="Y23">
        <f t="shared" si="15"/>
        <v>1185</v>
      </c>
      <c r="Z23" s="3">
        <f t="shared" si="14"/>
        <v>130264.31375957756</v>
      </c>
      <c r="AA23" s="3">
        <f t="shared" si="1"/>
        <v>32052.469320528937</v>
      </c>
      <c r="AC23" t="s">
        <v>954</v>
      </c>
      <c r="AD23" t="s">
        <v>1063</v>
      </c>
      <c r="AE23" s="25"/>
      <c r="AF23" s="26"/>
    </row>
    <row r="24" spans="1:32">
      <c r="A24" s="94" t="s">
        <v>966</v>
      </c>
      <c r="B24" s="95">
        <f t="shared" si="2"/>
        <v>91126.917523876225</v>
      </c>
      <c r="C24" s="95">
        <f t="shared" si="3"/>
        <v>94249.704880337929</v>
      </c>
      <c r="D24" s="95">
        <f t="shared" si="4"/>
        <v>95047.008837298999</v>
      </c>
      <c r="E24" s="95">
        <f t="shared" si="5"/>
        <v>95851.068635043513</v>
      </c>
      <c r="F24" s="95">
        <f t="shared" si="6"/>
        <v>96661.941611951494</v>
      </c>
      <c r="G24" s="95">
        <f t="shared" si="7"/>
        <v>97479.685593809758</v>
      </c>
      <c r="H24" s="95">
        <f t="shared" si="8"/>
        <v>98304.358898030841</v>
      </c>
      <c r="I24" s="95">
        <f t="shared" si="9"/>
        <v>99136.020337759517</v>
      </c>
      <c r="J24" s="95">
        <f t="shared" si="10"/>
        <v>99974.729226191819</v>
      </c>
      <c r="K24" s="95">
        <f t="shared" si="11"/>
        <v>100820.54538073133</v>
      </c>
      <c r="L24" s="95">
        <f t="shared" si="12"/>
        <v>95851.068635043513</v>
      </c>
      <c r="M24" s="94" t="s">
        <v>1015</v>
      </c>
      <c r="N24" s="94">
        <f>728-$AD$19</f>
        <v>615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20.16393442622951</v>
      </c>
      <c r="S24" s="95">
        <v>100000</v>
      </c>
      <c r="T24" s="95">
        <v>95000</v>
      </c>
      <c r="U24" s="95">
        <f t="shared" si="13"/>
        <v>134244.85799020051</v>
      </c>
      <c r="W24">
        <v>98</v>
      </c>
      <c r="X24">
        <v>11</v>
      </c>
      <c r="Y24">
        <f t="shared" si="15"/>
        <v>1185</v>
      </c>
      <c r="Z24" s="3">
        <f t="shared" si="14"/>
        <v>132781.40023899439</v>
      </c>
      <c r="AA24" s="3">
        <f t="shared" si="1"/>
        <v>33851.808315839073</v>
      </c>
      <c r="AC24">
        <v>85600</v>
      </c>
      <c r="AD24">
        <v>980</v>
      </c>
      <c r="AE24" s="3">
        <f>AC24*(1+AC2/36500)^AD24</f>
        <v>158701.4946916856</v>
      </c>
      <c r="AF24" s="26"/>
    </row>
    <row r="25" spans="1:32">
      <c r="A25" s="90" t="s">
        <v>967</v>
      </c>
      <c r="B25" s="91">
        <f t="shared" si="2"/>
        <v>89147.755034335321</v>
      </c>
      <c r="C25" s="91">
        <f t="shared" si="3"/>
        <v>91915.074554445062</v>
      </c>
      <c r="D25" s="91">
        <f t="shared" si="4"/>
        <v>92620.24823898742</v>
      </c>
      <c r="E25" s="91">
        <f t="shared" si="5"/>
        <v>93330.841795501736</v>
      </c>
      <c r="F25" s="91">
        <f t="shared" si="6"/>
        <v>94046.896955474673</v>
      </c>
      <c r="G25" s="91">
        <f t="shared" si="7"/>
        <v>94768.455772342932</v>
      </c>
      <c r="H25" s="91">
        <f t="shared" si="8"/>
        <v>95495.56062388765</v>
      </c>
      <c r="I25" s="91">
        <f t="shared" si="9"/>
        <v>96228.25421481079</v>
      </c>
      <c r="J25" s="91">
        <f t="shared" si="10"/>
        <v>96966.579579238198</v>
      </c>
      <c r="K25" s="91">
        <f t="shared" si="11"/>
        <v>97710.580083231616</v>
      </c>
      <c r="L25" s="91">
        <f t="shared" si="12"/>
        <v>93330.841795501736</v>
      </c>
      <c r="M25" s="90" t="s">
        <v>987</v>
      </c>
      <c r="N25" s="90">
        <f>671-$AD$19</f>
        <v>558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18.295081967213115</v>
      </c>
      <c r="S25" s="91">
        <v>100000</v>
      </c>
      <c r="T25" s="91">
        <v>90600</v>
      </c>
      <c r="U25" s="91">
        <f t="shared" si="13"/>
        <v>126697.31099650005</v>
      </c>
      <c r="W25">
        <v>98</v>
      </c>
      <c r="X25">
        <v>12</v>
      </c>
      <c r="Y25">
        <f t="shared" si="15"/>
        <v>1185</v>
      </c>
      <c r="Z25" s="3">
        <f t="shared" si="14"/>
        <v>135347.12417069578</v>
      </c>
      <c r="AA25" s="3">
        <f t="shared" si="1"/>
        <v>35685.634641892648</v>
      </c>
      <c r="AE25" s="25"/>
      <c r="AF25" s="26"/>
    </row>
    <row r="26" spans="1:32">
      <c r="A26" s="92" t="s">
        <v>968</v>
      </c>
      <c r="B26" s="93">
        <f t="shared" si="2"/>
        <v>81546.217116623287</v>
      </c>
      <c r="C26" s="93">
        <f t="shared" si="3"/>
        <v>85536.304027546226</v>
      </c>
      <c r="D26" s="93">
        <f>$S26/(1+($AC$4-$O26+$P26)/36500)^$N26</f>
        <v>86564.001463953784</v>
      </c>
      <c r="E26" s="93">
        <f t="shared" si="5"/>
        <v>87604.060759824017</v>
      </c>
      <c r="F26" s="93">
        <f t="shared" si="6"/>
        <v>88656.630784584471</v>
      </c>
      <c r="G26" s="93">
        <f t="shared" si="7"/>
        <v>89721.862202540942</v>
      </c>
      <c r="H26" s="93">
        <f t="shared" si="8"/>
        <v>90799.907494448693</v>
      </c>
      <c r="I26" s="93">
        <f t="shared" si="9"/>
        <v>91890.92097959308</v>
      </c>
      <c r="J26" s="93">
        <f t="shared" si="10"/>
        <v>92995.058837822071</v>
      </c>
      <c r="K26" s="93">
        <f t="shared" si="11"/>
        <v>94112.479132142966</v>
      </c>
      <c r="L26" s="93">
        <f t="shared" si="12"/>
        <v>87604.060759824017</v>
      </c>
      <c r="M26" s="92" t="s">
        <v>988</v>
      </c>
      <c r="N26" s="92">
        <f>985-$AD$19</f>
        <v>872</v>
      </c>
      <c r="O26" s="92">
        <v>15</v>
      </c>
      <c r="P26" s="92">
        <f>$AI$2</f>
        <v>0.54</v>
      </c>
      <c r="Q26" s="92">
        <v>6</v>
      </c>
      <c r="R26" s="92">
        <f t="shared" si="0"/>
        <v>28.590163934426229</v>
      </c>
      <c r="S26" s="93">
        <v>100000</v>
      </c>
      <c r="T26" s="93">
        <v>85800</v>
      </c>
      <c r="U26" s="93">
        <f t="shared" si="13"/>
        <v>141242.22747512386</v>
      </c>
      <c r="W26">
        <v>99</v>
      </c>
      <c r="X26">
        <v>1</v>
      </c>
      <c r="Y26">
        <f t="shared" si="15"/>
        <v>1185</v>
      </c>
      <c r="Z26" s="3">
        <f t="shared" si="14"/>
        <v>137962.42537211912</v>
      </c>
      <c r="AA26" s="3">
        <f t="shared" si="1"/>
        <v>37554.60930586225</v>
      </c>
      <c r="AE26" s="25"/>
      <c r="AF26" s="26"/>
    </row>
    <row r="27" spans="1:32">
      <c r="A27" s="94" t="s">
        <v>942</v>
      </c>
      <c r="B27" s="95">
        <f>$S27/(1+($AC$2-$O27+$P27)/36500)^$N27</f>
        <v>85428.994109185514</v>
      </c>
      <c r="C27" s="95">
        <f t="shared" si="3"/>
        <v>86606.591851998921</v>
      </c>
      <c r="D27" s="95">
        <f t="shared" si="4"/>
        <v>86903.529126689653</v>
      </c>
      <c r="E27" s="95">
        <f t="shared" si="5"/>
        <v>87201.488559666541</v>
      </c>
      <c r="F27" s="95">
        <f t="shared" si="6"/>
        <v>87500.473683616932</v>
      </c>
      <c r="G27" s="95">
        <f t="shared" si="7"/>
        <v>87800.488043471807</v>
      </c>
      <c r="H27" s="95">
        <f t="shared" si="8"/>
        <v>88101.535196476936</v>
      </c>
      <c r="I27" s="95">
        <f t="shared" si="9"/>
        <v>88403.61871221046</v>
      </c>
      <c r="J27" s="95">
        <f t="shared" si="10"/>
        <v>88706.742172641665</v>
      </c>
      <c r="K27" s="95">
        <f t="shared" si="11"/>
        <v>89010.909172177999</v>
      </c>
      <c r="L27" s="95">
        <f t="shared" si="12"/>
        <v>87201.488559666541</v>
      </c>
      <c r="M27" s="94" t="s">
        <v>989</v>
      </c>
      <c r="N27" s="94">
        <f>363-$AD$19</f>
        <v>250</v>
      </c>
      <c r="O27" s="94">
        <v>0</v>
      </c>
      <c r="P27" s="94">
        <v>0</v>
      </c>
      <c r="Q27" s="94">
        <v>0</v>
      </c>
      <c r="R27" s="94">
        <f t="shared" si="0"/>
        <v>8.1967213114754092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140628.26182071579</v>
      </c>
      <c r="AA27" s="3">
        <f t="shared" si="1"/>
        <v>39459.405984224606</v>
      </c>
      <c r="AE27" s="25"/>
      <c r="AF27" s="26"/>
    </row>
    <row r="28" spans="1:32">
      <c r="A28" s="90" t="s">
        <v>977</v>
      </c>
      <c r="B28" s="91">
        <f t="shared" si="2"/>
        <v>89385.85753284322</v>
      </c>
      <c r="C28" s="91">
        <f t="shared" si="3"/>
        <v>95235.743223714031</v>
      </c>
      <c r="D28" s="91">
        <f t="shared" si="4"/>
        <v>96757.135419612328</v>
      </c>
      <c r="E28" s="91">
        <f t="shared" si="5"/>
        <v>98302.85321665839</v>
      </c>
      <c r="F28" s="91">
        <f t="shared" si="6"/>
        <v>99873.285899135182</v>
      </c>
      <c r="G28" s="91">
        <f t="shared" si="7"/>
        <v>101468.82898648885</v>
      </c>
      <c r="H28" s="91">
        <f t="shared" si="8"/>
        <v>103089.88433336123</v>
      </c>
      <c r="I28" s="91">
        <f t="shared" si="9"/>
        <v>104736.86023109884</v>
      </c>
      <c r="J28" s="91">
        <f t="shared" si="10"/>
        <v>106410.17151094502</v>
      </c>
      <c r="K28" s="91">
        <f t="shared" si="11"/>
        <v>108110.23964894276</v>
      </c>
      <c r="L28" s="91">
        <f t="shared" si="12"/>
        <v>98302.85321665839</v>
      </c>
      <c r="M28" s="90" t="s">
        <v>980</v>
      </c>
      <c r="N28" s="90">
        <f>1270-$AD$19</f>
        <v>1157</v>
      </c>
      <c r="O28" s="90">
        <v>20</v>
      </c>
      <c r="P28" s="90">
        <f>$AI$2</f>
        <v>0.54</v>
      </c>
      <c r="Q28" s="90">
        <v>6</v>
      </c>
      <c r="R28" s="90">
        <f t="shared" si="0"/>
        <v>37.934426229508198</v>
      </c>
      <c r="S28" s="91">
        <v>100000</v>
      </c>
      <c r="T28" s="91">
        <v>100000</v>
      </c>
      <c r="U28" s="91">
        <f t="shared" si="13"/>
        <v>185267.61726710259</v>
      </c>
      <c r="W28">
        <v>99</v>
      </c>
      <c r="X28">
        <v>3</v>
      </c>
      <c r="Y28">
        <f t="shared" si="15"/>
        <v>1185</v>
      </c>
      <c r="Z28" s="3">
        <f t="shared" si="14"/>
        <v>143345.61000485567</v>
      </c>
      <c r="AA28" s="3">
        <f t="shared" si="1"/>
        <v>41400.711265588907</v>
      </c>
      <c r="AC28" s="85">
        <f>AD28*((1+$AC$2/36500)^30)</f>
        <v>10190778.563676326</v>
      </c>
      <c r="AD28" s="3">
        <v>10000000</v>
      </c>
      <c r="AE28" s="25"/>
      <c r="AF28" s="26"/>
    </row>
    <row r="29" spans="1:32">
      <c r="A29" s="92" t="s">
        <v>981</v>
      </c>
      <c r="B29" s="93">
        <f t="shared" si="2"/>
        <v>99004.691994664157</v>
      </c>
      <c r="C29" s="93">
        <f t="shared" si="3"/>
        <v>100320.74830437193</v>
      </c>
      <c r="D29" s="93">
        <f t="shared" si="4"/>
        <v>100652.49819313081</v>
      </c>
      <c r="E29" s="93">
        <f t="shared" si="5"/>
        <v>100985.3497102035</v>
      </c>
      <c r="F29" s="93">
        <f t="shared" si="6"/>
        <v>101319.30652889215</v>
      </c>
      <c r="G29" s="93">
        <f t="shared" si="7"/>
        <v>101654.37233478765</v>
      </c>
      <c r="H29" s="93">
        <f t="shared" si="8"/>
        <v>101990.55082583404</v>
      </c>
      <c r="I29" s="93">
        <f t="shared" si="9"/>
        <v>102327.84571235065</v>
      </c>
      <c r="J29" s="93">
        <f t="shared" si="10"/>
        <v>102666.26071707945</v>
      </c>
      <c r="K29" s="93">
        <f t="shared" si="11"/>
        <v>103005.79957522936</v>
      </c>
      <c r="L29" s="93">
        <f t="shared" si="12"/>
        <v>100985.3497102035</v>
      </c>
      <c r="M29" s="92" t="s">
        <v>982</v>
      </c>
      <c r="N29" s="92">
        <f>354-$AD$19</f>
        <v>241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7.9016393442622954</v>
      </c>
      <c r="S29" s="93">
        <v>100000</v>
      </c>
      <c r="T29" s="93">
        <v>103000</v>
      </c>
      <c r="U29" s="93">
        <f t="shared" si="13"/>
        <v>115236.0265033188</v>
      </c>
      <c r="W29">
        <v>99</v>
      </c>
      <c r="X29">
        <v>4</v>
      </c>
      <c r="Y29">
        <f t="shared" si="15"/>
        <v>1185</v>
      </c>
      <c r="Z29" s="3">
        <f t="shared" si="14"/>
        <v>146115.46528151198</v>
      </c>
      <c r="AA29" s="3">
        <f t="shared" si="1"/>
        <v>43379.224898179353</v>
      </c>
      <c r="AE29" s="25"/>
      <c r="AF29" s="26"/>
    </row>
    <row r="30" spans="1:32">
      <c r="A30" s="94" t="s">
        <v>1007</v>
      </c>
      <c r="B30" s="95">
        <f t="shared" si="2"/>
        <v>96437.700304088896</v>
      </c>
      <c r="C30" s="95">
        <f t="shared" si="3"/>
        <v>100000</v>
      </c>
      <c r="D30" s="95">
        <f t="shared" si="4"/>
        <v>100910.97991915347</v>
      </c>
      <c r="E30" s="95">
        <f t="shared" si="5"/>
        <v>101830.27133274039</v>
      </c>
      <c r="F30" s="95">
        <f t="shared" si="6"/>
        <v>102757.95018765592</v>
      </c>
      <c r="G30" s="95">
        <f t="shared" si="7"/>
        <v>103694.09312578343</v>
      </c>
      <c r="H30" s="95">
        <f t="shared" si="8"/>
        <v>104638.7774904554</v>
      </c>
      <c r="I30" s="95">
        <f t="shared" si="9"/>
        <v>105592.081332784</v>
      </c>
      <c r="J30" s="95">
        <f t="shared" si="10"/>
        <v>106554.08341821303</v>
      </c>
      <c r="K30" s="95">
        <f t="shared" si="11"/>
        <v>107524.86323302923</v>
      </c>
      <c r="L30" s="95">
        <f t="shared" si="12"/>
        <v>101830.27133274039</v>
      </c>
      <c r="M30" s="94" t="s">
        <v>1008</v>
      </c>
      <c r="N30" s="94">
        <f>775-$AD$19</f>
        <v>662</v>
      </c>
      <c r="O30" s="94">
        <v>21</v>
      </c>
      <c r="P30" s="94">
        <v>0</v>
      </c>
      <c r="Q30" s="94">
        <v>1</v>
      </c>
      <c r="R30" s="94">
        <f t="shared" si="0"/>
        <v>21.704918032786885</v>
      </c>
      <c r="S30" s="95">
        <v>100000</v>
      </c>
      <c r="T30" s="95">
        <v>104000</v>
      </c>
      <c r="U30" s="95">
        <f t="shared" si="13"/>
        <v>146337.63440101495</v>
      </c>
      <c r="W30">
        <v>99</v>
      </c>
      <c r="X30">
        <v>5</v>
      </c>
      <c r="Y30">
        <f t="shared" si="15"/>
        <v>1185</v>
      </c>
      <c r="Z30" s="3">
        <f t="shared" si="14"/>
        <v>148938.84224085786</v>
      </c>
      <c r="AA30" s="3">
        <f t="shared" si="1"/>
        <v>45395.660042061121</v>
      </c>
      <c r="AD30" s="25"/>
      <c r="AE30" s="26"/>
    </row>
    <row r="31" spans="1:32">
      <c r="A31" s="90" t="s">
        <v>1057</v>
      </c>
      <c r="B31" s="91">
        <f t="shared" si="2"/>
        <v>80394.907237173247</v>
      </c>
      <c r="C31" s="91">
        <f t="shared" si="3"/>
        <v>85942.668545594745</v>
      </c>
      <c r="D31" s="91">
        <f t="shared" si="4"/>
        <v>87388.474199261764</v>
      </c>
      <c r="E31" s="91">
        <f t="shared" si="5"/>
        <v>88858.622814341346</v>
      </c>
      <c r="F31" s="91">
        <f t="shared" si="6"/>
        <v>90353.524593954906</v>
      </c>
      <c r="G31" s="91">
        <f t="shared" si="7"/>
        <v>91873.596659397823</v>
      </c>
      <c r="H31" s="91">
        <f t="shared" si="8"/>
        <v>93419.263166843608</v>
      </c>
      <c r="I31" s="91">
        <f t="shared" si="9"/>
        <v>94990.955425946959</v>
      </c>
      <c r="J31" s="91">
        <f t="shared" si="10"/>
        <v>96589.112020895322</v>
      </c>
      <c r="K31" s="91">
        <f t="shared" si="11"/>
        <v>98214.178932882045</v>
      </c>
      <c r="L31" s="91">
        <f t="shared" si="12"/>
        <v>88858.622814341346</v>
      </c>
      <c r="M31" s="90" t="s">
        <v>1058</v>
      </c>
      <c r="N31" s="90">
        <f>1331-$AD$19</f>
        <v>1218</v>
      </c>
      <c r="O31" s="90">
        <v>17</v>
      </c>
      <c r="P31" s="90">
        <f>AI2</f>
        <v>0.54</v>
      </c>
      <c r="Q31" s="90">
        <v>6</v>
      </c>
      <c r="R31" s="90">
        <f t="shared" si="0"/>
        <v>39.934426229508198</v>
      </c>
      <c r="S31" s="91">
        <v>100000</v>
      </c>
      <c r="T31" s="91"/>
      <c r="U31" s="91">
        <f t="shared" si="13"/>
        <v>173159.99002762316</v>
      </c>
      <c r="W31">
        <v>99</v>
      </c>
      <c r="X31">
        <v>6</v>
      </c>
      <c r="Y31">
        <f t="shared" si="15"/>
        <v>1185</v>
      </c>
      <c r="Z31" s="3">
        <f t="shared" si="14"/>
        <v>151816.77507790778</v>
      </c>
      <c r="AA31" s="3">
        <f t="shared" si="1"/>
        <v>47450.743526200618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154750.31797134026</v>
      </c>
      <c r="AA32" s="3">
        <f t="shared" si="1"/>
        <v>49545.216110452791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157740.54546964064</v>
      </c>
      <c r="AA33" s="3">
        <f t="shared" si="1"/>
        <v>51679.832752569797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160788.55288470504</v>
      </c>
      <c r="AA34" s="3">
        <f t="shared" si="1"/>
        <v>53855.362880327382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163895.45669305013</v>
      </c>
      <c r="AA35" s="3">
        <f t="shared" si="1"/>
        <v>56072.590668866986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167062.39494477521</v>
      </c>
      <c r="AA36" s="3">
        <f t="shared" si="1"/>
        <v>58332.3153233536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170290.52768042684</v>
      </c>
      <c r="AA37" s="3">
        <f t="shared" si="1"/>
        <v>60635.351367051204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173581.03735591841</v>
      </c>
      <c r="AA38" s="3">
        <f t="shared" si="1"/>
        <v>62982.528934919676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176935.12927566038</v>
      </c>
      <c r="AA39" s="3">
        <f t="shared" si="1"/>
        <v>65374.69407283896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180354.03203405984</v>
      </c>
      <c r="AA40" s="3">
        <f t="shared" si="1"/>
        <v>67812.709042568371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183838.9979655513</v>
      </c>
      <c r="AA41" s="3">
        <f t="shared" si="1"/>
        <v>70297.452632550921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187391.30360332315</v>
      </c>
      <c r="AA42" s="3">
        <f t="shared" si="1"/>
        <v>72829.820474674809</v>
      </c>
      <c r="AD42" s="25"/>
      <c r="AE42" s="26"/>
    </row>
    <row r="43" spans="1:31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191012.25014690819</v>
      </c>
      <c r="AA43" s="3">
        <f t="shared" si="1"/>
        <v>75410.725367106061</v>
      </c>
      <c r="AD43" s="25"/>
      <c r="AE43" s="26"/>
    </row>
    <row r="44" spans="1:31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194703.16393880939</v>
      </c>
      <c r="AA44" s="3">
        <f t="shared" si="1"/>
        <v>78041.097603308925</v>
      </c>
      <c r="AD44" s="25"/>
      <c r="AE44" s="26"/>
    </row>
    <row r="45" spans="1:31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198465.39695033533</v>
      </c>
      <c r="AA45" s="3">
        <f t="shared" si="1"/>
        <v>80721.885307372344</v>
      </c>
      <c r="AD45" s="25"/>
      <c r="AE45" s="26"/>
    </row>
    <row r="46" spans="1:31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202300.32727682358</v>
      </c>
      <c r="AA46" s="3">
        <f t="shared" si="1"/>
        <v>83454.054775763638</v>
      </c>
      <c r="AD46" s="25"/>
      <c r="AE46" s="26"/>
    </row>
    <row r="47" spans="1:31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206209.35964243303</v>
      </c>
      <c r="AA47" s="3">
        <f t="shared" si="1"/>
        <v>86238.590825632433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210193.92591469045</v>
      </c>
      <c r="AA48" s="3">
        <f t="shared" si="1"/>
        <v>89076.497149790375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214255.48562897951</v>
      </c>
      <c r="AA49" s="3">
        <f t="shared" si="1"/>
        <v>91968.796678494677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1070</v>
      </c>
    </row>
    <row r="2" spans="1:1">
      <c r="A2" t="s">
        <v>1071</v>
      </c>
    </row>
    <row r="3" spans="1:1">
      <c r="A3" t="s">
        <v>1072</v>
      </c>
    </row>
    <row r="4" spans="1:1">
      <c r="A4" t="s">
        <v>1073</v>
      </c>
    </row>
    <row r="5" spans="1:1">
      <c r="A5" t="s">
        <v>1074</v>
      </c>
    </row>
    <row r="6" spans="1:1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L31" sqref="L3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3" t="s">
        <v>1106</v>
      </c>
      <c r="AI1" s="183"/>
      <c r="AJ1" s="183"/>
      <c r="AK1" s="183"/>
    </row>
    <row r="2" spans="10:37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3"/>
      <c r="AI2" s="183"/>
      <c r="AJ2" s="183"/>
      <c r="AK2" s="183"/>
    </row>
    <row r="3" spans="10:37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84" t="s">
        <v>1107</v>
      </c>
      <c r="AI3" s="185" t="s">
        <v>1108</v>
      </c>
      <c r="AJ3" s="184" t="s">
        <v>1109</v>
      </c>
      <c r="AK3" s="186" t="s">
        <v>1110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84"/>
      <c r="AI4" s="185"/>
      <c r="AJ4" s="184"/>
      <c r="AK4" s="186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3740</v>
      </c>
      <c r="AK23" s="105"/>
    </row>
    <row r="24" spans="5:37">
      <c r="T24" t="s">
        <v>25</v>
      </c>
      <c r="AJ24" s="105" t="s">
        <v>3741</v>
      </c>
      <c r="AK24" s="105">
        <v>6145</v>
      </c>
    </row>
    <row r="25" spans="5:37">
      <c r="AJ25" s="105" t="s">
        <v>3747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4024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1134</v>
      </c>
      <c r="G39" s="98">
        <v>1240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1135</v>
      </c>
      <c r="G40" s="98">
        <v>12000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1136</v>
      </c>
      <c r="G42" s="101">
        <f>G36*G38*G39*G40/(G35*G37)+G41</f>
        <v>3507158.7138263662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3902</v>
      </c>
      <c r="B91" s="90">
        <f>116-'اوراق بدون ریسک'!$AD$19</f>
        <v>3</v>
      </c>
      <c r="C91" s="152">
        <f>$B$89/(1+(C$90/36500))^$B91</f>
        <v>2995566.0177970496</v>
      </c>
      <c r="D91" s="152">
        <f>$B$89/(1+(D$90/36500))^$B91</f>
        <v>2995319.9417278017</v>
      </c>
      <c r="E91" s="152">
        <f t="shared" ref="E91:L106" si="5">$B$89/(1+(E$90/36500))^$B91</f>
        <v>2995073.8926102892</v>
      </c>
      <c r="F91" s="152">
        <f t="shared" si="5"/>
        <v>2994827.8704408193</v>
      </c>
      <c r="G91" s="152">
        <f t="shared" si="5"/>
        <v>2994581.8752157073</v>
      </c>
      <c r="H91" s="152">
        <f t="shared" si="5"/>
        <v>2994335.9069312597</v>
      </c>
      <c r="I91" s="152">
        <f t="shared" si="5"/>
        <v>2994089.9655837901</v>
      </c>
      <c r="J91" s="152">
        <f t="shared" si="5"/>
        <v>2993844.0511696124</v>
      </c>
      <c r="K91" s="152">
        <f>$B$89/(1+(K$90/36500))^$B91</f>
        <v>2993598.1636850382</v>
      </c>
      <c r="L91" s="152">
        <f t="shared" si="5"/>
        <v>2993352.3031263822</v>
      </c>
    </row>
    <row r="92" spans="1:12">
      <c r="A92" s="153" t="s">
        <v>3903</v>
      </c>
      <c r="B92" s="92">
        <f>120-'اوراق بدون ریسک'!$AD$19</f>
        <v>7</v>
      </c>
      <c r="C92" s="154">
        <f t="shared" ref="C92:L112" si="6">$B$89/(1+(C$90/36500))^$B92</f>
        <v>2989664.2340287645</v>
      </c>
      <c r="D92" s="154">
        <f t="shared" si="6"/>
        <v>2989091.2191452566</v>
      </c>
      <c r="E92" s="154">
        <f t="shared" si="5"/>
        <v>2988518.3297749618</v>
      </c>
      <c r="F92" s="154">
        <f t="shared" si="5"/>
        <v>2987945.5658869497</v>
      </c>
      <c r="G92" s="154">
        <f t="shared" si="5"/>
        <v>2987372.9274503081</v>
      </c>
      <c r="H92" s="154">
        <f t="shared" si="5"/>
        <v>2986800.4144341154</v>
      </c>
      <c r="I92" s="154">
        <f t="shared" si="5"/>
        <v>2986228.0268074716</v>
      </c>
      <c r="J92" s="154">
        <f t="shared" si="5"/>
        <v>2985655.7645394858</v>
      </c>
      <c r="K92" s="154">
        <f t="shared" si="5"/>
        <v>2985083.6275992705</v>
      </c>
      <c r="L92" s="154">
        <f t="shared" si="5"/>
        <v>2984511.6159559465</v>
      </c>
    </row>
    <row r="93" spans="1:12">
      <c r="A93" s="155" t="s">
        <v>3904</v>
      </c>
      <c r="B93" s="156">
        <f>137-'اوراق بدون ریسک'!$AD$19</f>
        <v>24</v>
      </c>
      <c r="C93" s="157">
        <f t="shared" si="6"/>
        <v>2964711.0961507005</v>
      </c>
      <c r="D93" s="157">
        <f t="shared" si="6"/>
        <v>2962763.3247336131</v>
      </c>
      <c r="E93" s="157">
        <f t="shared" si="5"/>
        <v>2960816.8862561402</v>
      </c>
      <c r="F93" s="157">
        <f t="shared" si="5"/>
        <v>2958871.7797696334</v>
      </c>
      <c r="G93" s="157">
        <f t="shared" si="5"/>
        <v>2956928.0043261745</v>
      </c>
      <c r="H93" s="157">
        <f t="shared" si="5"/>
        <v>2954985.558978477</v>
      </c>
      <c r="I93" s="157">
        <f t="shared" si="5"/>
        <v>2953044.4427800099</v>
      </c>
      <c r="J93" s="157">
        <f t="shared" si="5"/>
        <v>2951104.6547849379</v>
      </c>
      <c r="K93" s="157">
        <f t="shared" si="5"/>
        <v>2949166.1940481104</v>
      </c>
      <c r="L93" s="157">
        <f t="shared" si="5"/>
        <v>2947229.059625071</v>
      </c>
    </row>
    <row r="94" spans="1:12">
      <c r="A94" s="158" t="s">
        <v>3905</v>
      </c>
      <c r="B94" s="159">
        <f>116-'اوراق بدون ریسک'!$AD$19</f>
        <v>3</v>
      </c>
      <c r="C94" s="160">
        <f t="shared" si="6"/>
        <v>2995566.0177970496</v>
      </c>
      <c r="D94" s="160">
        <f t="shared" si="6"/>
        <v>2995319.9417278017</v>
      </c>
      <c r="E94" s="160">
        <f t="shared" si="5"/>
        <v>2995073.8926102892</v>
      </c>
      <c r="F94" s="160">
        <f t="shared" si="5"/>
        <v>2994827.8704408193</v>
      </c>
      <c r="G94" s="160">
        <f t="shared" si="5"/>
        <v>2994581.8752157073</v>
      </c>
      <c r="H94" s="160">
        <f t="shared" si="5"/>
        <v>2994335.9069312597</v>
      </c>
      <c r="I94" s="160">
        <f t="shared" si="5"/>
        <v>2994089.9655837901</v>
      </c>
      <c r="J94" s="160">
        <f t="shared" si="5"/>
        <v>2993844.0511696124</v>
      </c>
      <c r="K94" s="160">
        <f t="shared" si="5"/>
        <v>2993598.1636850382</v>
      </c>
      <c r="L94" s="160">
        <f t="shared" si="5"/>
        <v>2993352.3031263822</v>
      </c>
    </row>
    <row r="95" spans="1:12">
      <c r="A95" s="161" t="s">
        <v>3906</v>
      </c>
      <c r="B95" s="162">
        <f>167-'اوراق بدون ریسک'!$AD$19</f>
        <v>54</v>
      </c>
      <c r="C95" s="163">
        <f t="shared" si="6"/>
        <v>2921183.1303966381</v>
      </c>
      <c r="D95" s="163">
        <f t="shared" si="6"/>
        <v>2916866.7614776338</v>
      </c>
      <c r="E95" s="163">
        <f t="shared" si="5"/>
        <v>2912556.888399445</v>
      </c>
      <c r="F95" s="163">
        <f t="shared" si="5"/>
        <v>2908253.5012088022</v>
      </c>
      <c r="G95" s="163">
        <f t="shared" si="5"/>
        <v>2903956.5899680187</v>
      </c>
      <c r="H95" s="163">
        <f t="shared" si="5"/>
        <v>2899666.144754759</v>
      </c>
      <c r="I95" s="163">
        <f t="shared" si="5"/>
        <v>2895382.155662281</v>
      </c>
      <c r="J95" s="163">
        <f t="shared" si="5"/>
        <v>2891104.6127992859</v>
      </c>
      <c r="K95" s="163">
        <f t="shared" si="5"/>
        <v>2886833.5062898616</v>
      </c>
      <c r="L95" s="163">
        <f t="shared" si="5"/>
        <v>2882568.8262734925</v>
      </c>
    </row>
    <row r="96" spans="1:12">
      <c r="A96" s="166" t="s">
        <v>3907</v>
      </c>
      <c r="B96" s="167">
        <f>181-'اوراق بدون ریسک'!$AD$19</f>
        <v>68</v>
      </c>
      <c r="C96" s="168">
        <f t="shared" si="6"/>
        <v>2901089.3607468689</v>
      </c>
      <c r="D96" s="168">
        <f t="shared" si="6"/>
        <v>2895692.3559019105</v>
      </c>
      <c r="E96" s="168">
        <f t="shared" si="5"/>
        <v>2890305.5386785199</v>
      </c>
      <c r="F96" s="168">
        <f t="shared" si="5"/>
        <v>2884928.8895679261</v>
      </c>
      <c r="G96" s="168">
        <f t="shared" si="5"/>
        <v>2879562.3890993246</v>
      </c>
      <c r="H96" s="168">
        <f t="shared" si="5"/>
        <v>2874206.0178395379</v>
      </c>
      <c r="I96" s="168">
        <f t="shared" si="5"/>
        <v>2868859.7563932841</v>
      </c>
      <c r="J96" s="168">
        <f t="shared" si="5"/>
        <v>2863523.5854029432</v>
      </c>
      <c r="K96" s="168">
        <f t="shared" si="5"/>
        <v>2858197.485548439</v>
      </c>
      <c r="L96" s="168">
        <f t="shared" si="5"/>
        <v>2852881.4375472078</v>
      </c>
    </row>
    <row r="97" spans="1:12">
      <c r="A97" s="169" t="s">
        <v>3908</v>
      </c>
      <c r="B97" s="88">
        <f>197-'اوراق بدون ریسک'!$AD$19</f>
        <v>84</v>
      </c>
      <c r="C97" s="148">
        <f t="shared" si="6"/>
        <v>2878294.243372757</v>
      </c>
      <c r="D97" s="148">
        <f t="shared" si="6"/>
        <v>2871681.1880267216</v>
      </c>
      <c r="E97" s="148">
        <f t="shared" si="5"/>
        <v>2865083.5070349546</v>
      </c>
      <c r="F97" s="148">
        <f t="shared" si="5"/>
        <v>2858501.1642348883</v>
      </c>
      <c r="G97" s="148">
        <f t="shared" si="5"/>
        <v>2851934.1235500905</v>
      </c>
      <c r="H97" s="148">
        <f t="shared" si="5"/>
        <v>2845382.3489897368</v>
      </c>
      <c r="I97" s="148">
        <f t="shared" si="5"/>
        <v>2838845.8046488245</v>
      </c>
      <c r="J97" s="148">
        <f t="shared" si="5"/>
        <v>2832324.4547077678</v>
      </c>
      <c r="K97" s="148">
        <f t="shared" si="5"/>
        <v>2825818.2634321433</v>
      </c>
      <c r="L97" s="148">
        <f t="shared" si="5"/>
        <v>2819327.1951725353</v>
      </c>
    </row>
    <row r="98" spans="1:12">
      <c r="A98" s="170" t="s">
        <v>3909</v>
      </c>
      <c r="B98" s="127">
        <f>214-'اوراق بدون ریسک'!$AD$19</f>
        <v>101</v>
      </c>
      <c r="C98" s="112">
        <f t="shared" si="6"/>
        <v>2854270.6515957867</v>
      </c>
      <c r="D98" s="112">
        <f t="shared" si="6"/>
        <v>2846387.4403424705</v>
      </c>
      <c r="E98" s="112">
        <f t="shared" si="5"/>
        <v>2838526.2167027872</v>
      </c>
      <c r="F98" s="112">
        <f t="shared" si="5"/>
        <v>2830686.9187500002</v>
      </c>
      <c r="G98" s="112">
        <f t="shared" si="5"/>
        <v>2822869.484733576</v>
      </c>
      <c r="H98" s="112">
        <f t="shared" si="5"/>
        <v>2815073.8530783067</v>
      </c>
      <c r="I98" s="112">
        <f t="shared" si="5"/>
        <v>2807299.9623842998</v>
      </c>
      <c r="J98" s="112">
        <f t="shared" si="5"/>
        <v>2799547.751426239</v>
      </c>
      <c r="K98" s="112">
        <f t="shared" si="5"/>
        <v>2791817.1591528286</v>
      </c>
      <c r="L98" s="112">
        <f t="shared" si="5"/>
        <v>2784108.124686351</v>
      </c>
    </row>
    <row r="99" spans="1:12">
      <c r="A99" s="171" t="s">
        <v>3910</v>
      </c>
      <c r="B99" s="172">
        <f>272-'اوراق بدون ریسک'!$AD$19</f>
        <v>159</v>
      </c>
      <c r="C99" s="173">
        <f t="shared" si="6"/>
        <v>2773806.7580358773</v>
      </c>
      <c r="D99" s="173">
        <f t="shared" si="6"/>
        <v>2761755.974404355</v>
      </c>
      <c r="E99" s="173">
        <f t="shared" si="5"/>
        <v>2749757.8731500115</v>
      </c>
      <c r="F99" s="173">
        <f t="shared" si="5"/>
        <v>2737812.2225283273</v>
      </c>
      <c r="G99" s="173">
        <f t="shared" si="5"/>
        <v>2725918.791820677</v>
      </c>
      <c r="H99" s="173">
        <f t="shared" si="5"/>
        <v>2714077.351329173</v>
      </c>
      <c r="I99" s="173">
        <f t="shared" si="5"/>
        <v>2702287.6723728781</v>
      </c>
      <c r="J99" s="173">
        <f t="shared" si="5"/>
        <v>2690549.5272829221</v>
      </c>
      <c r="K99" s="173">
        <f t="shared" si="5"/>
        <v>2678862.6893979041</v>
      </c>
      <c r="L99" s="173">
        <f t="shared" si="5"/>
        <v>2667226.9330594982</v>
      </c>
    </row>
    <row r="100" spans="1:12">
      <c r="A100" s="155" t="s">
        <v>3911</v>
      </c>
      <c r="B100" s="156">
        <f>302-'اوراق بدون ریسک'!$AD$19</f>
        <v>189</v>
      </c>
      <c r="C100" s="157">
        <f t="shared" si="6"/>
        <v>2733081.6547605745</v>
      </c>
      <c r="D100" s="157">
        <f t="shared" si="6"/>
        <v>2718973.2429189691</v>
      </c>
      <c r="E100" s="157">
        <f t="shared" si="5"/>
        <v>2704938.0432981048</v>
      </c>
      <c r="F100" s="157">
        <f t="shared" si="5"/>
        <v>2690975.6739915814</v>
      </c>
      <c r="G100" s="157">
        <f t="shared" si="5"/>
        <v>2677085.7550957538</v>
      </c>
      <c r="H100" s="157">
        <f t="shared" si="5"/>
        <v>2663267.9086984983</v>
      </c>
      <c r="I100" s="157">
        <f t="shared" si="5"/>
        <v>2649521.7588696005</v>
      </c>
      <c r="J100" s="157">
        <f t="shared" si="5"/>
        <v>2635846.9316498912</v>
      </c>
      <c r="K100" s="157">
        <f t="shared" si="5"/>
        <v>2622243.0550407558</v>
      </c>
      <c r="L100" s="157">
        <f t="shared" si="5"/>
        <v>2608709.7589939092</v>
      </c>
    </row>
    <row r="101" spans="1:12">
      <c r="A101" s="158" t="s">
        <v>3912</v>
      </c>
      <c r="B101" s="159">
        <f>319-'اوراق بدون ریسک'!$AD$19</f>
        <v>206</v>
      </c>
      <c r="C101" s="160">
        <f t="shared" si="6"/>
        <v>2710270.0752570974</v>
      </c>
      <c r="D101" s="160">
        <f t="shared" si="6"/>
        <v>2695024.5457399897</v>
      </c>
      <c r="E101" s="160">
        <f t="shared" si="5"/>
        <v>2679865.1877356046</v>
      </c>
      <c r="F101" s="160">
        <f t="shared" si="5"/>
        <v>2664791.5118415891</v>
      </c>
      <c r="G101" s="160">
        <f t="shared" si="5"/>
        <v>2649803.0314486041</v>
      </c>
      <c r="H101" s="160">
        <f t="shared" si="5"/>
        <v>2634899.2627235595</v>
      </c>
      <c r="I101" s="160">
        <f t="shared" si="5"/>
        <v>2620079.7245946648</v>
      </c>
      <c r="J101" s="160">
        <f t="shared" si="5"/>
        <v>2605343.9387351437</v>
      </c>
      <c r="K101" s="160">
        <f t="shared" si="5"/>
        <v>2590691.4295473821</v>
      </c>
      <c r="L101" s="160">
        <f t="shared" si="5"/>
        <v>2576121.7241473971</v>
      </c>
    </row>
    <row r="102" spans="1:12">
      <c r="A102" s="155" t="s">
        <v>3913</v>
      </c>
      <c r="B102" s="156">
        <f>334-'اوراق بدون ریسک'!$AD$19</f>
        <v>221</v>
      </c>
      <c r="C102" s="157">
        <f t="shared" si="6"/>
        <v>2690300.3772932705</v>
      </c>
      <c r="D102" s="157">
        <f t="shared" si="6"/>
        <v>2674068.5780537892</v>
      </c>
      <c r="E102" s="157">
        <f t="shared" si="5"/>
        <v>2657935.1530544707</v>
      </c>
      <c r="F102" s="157">
        <f t="shared" si="5"/>
        <v>2641899.5034203641</v>
      </c>
      <c r="G102" s="157">
        <f t="shared" si="5"/>
        <v>2625961.033938772</v>
      </c>
      <c r="H102" s="157">
        <f t="shared" si="5"/>
        <v>2610119.1530359737</v>
      </c>
      <c r="I102" s="157">
        <f t="shared" si="5"/>
        <v>2594373.2727558981</v>
      </c>
      <c r="J102" s="157">
        <f t="shared" si="5"/>
        <v>2578722.80873742</v>
      </c>
      <c r="K102" s="157">
        <f t="shared" si="5"/>
        <v>2563167.1801921688</v>
      </c>
      <c r="L102" s="157">
        <f t="shared" si="5"/>
        <v>2547705.8098827037</v>
      </c>
    </row>
    <row r="103" spans="1:12">
      <c r="A103" s="158" t="s">
        <v>3914</v>
      </c>
      <c r="B103" s="159">
        <f>349-'اوراق بدون ریسک'!$AD$19</f>
        <v>236</v>
      </c>
      <c r="C103" s="160">
        <f t="shared" si="6"/>
        <v>2670477.8192179762</v>
      </c>
      <c r="D103" s="160">
        <f t="shared" si="6"/>
        <v>2653275.5597486454</v>
      </c>
      <c r="E103" s="160">
        <f t="shared" si="5"/>
        <v>2636184.5775578213</v>
      </c>
      <c r="F103" s="160">
        <f t="shared" si="5"/>
        <v>2619204.1498020492</v>
      </c>
      <c r="G103" s="160">
        <f t="shared" si="5"/>
        <v>2602333.5583532159</v>
      </c>
      <c r="H103" s="160">
        <f t="shared" si="5"/>
        <v>2585572.0897668288</v>
      </c>
      <c r="I103" s="160">
        <f t="shared" si="5"/>
        <v>2568919.0352524174</v>
      </c>
      <c r="J103" s="160">
        <f t="shared" si="5"/>
        <v>2552373.6906425469</v>
      </c>
      <c r="K103" s="160">
        <f t="shared" si="5"/>
        <v>2535935.3563624076</v>
      </c>
      <c r="L103" s="160">
        <f t="shared" si="5"/>
        <v>2519603.3373998688</v>
      </c>
    </row>
    <row r="104" spans="1:12">
      <c r="A104" s="171" t="s">
        <v>3915</v>
      </c>
      <c r="B104" s="172">
        <f>361-'اوراق بدون ریسک'!$AD$19</f>
        <v>248</v>
      </c>
      <c r="C104" s="173">
        <f t="shared" si="6"/>
        <v>2654724.9846598473</v>
      </c>
      <c r="D104" s="173">
        <f t="shared" si="6"/>
        <v>2636757.6168618742</v>
      </c>
      <c r="E104" s="173">
        <f t="shared" si="5"/>
        <v>2618912.3404955892</v>
      </c>
      <c r="F104" s="173">
        <f t="shared" si="5"/>
        <v>2601188.3226190666</v>
      </c>
      <c r="G104" s="173">
        <f t="shared" si="5"/>
        <v>2583584.7359957718</v>
      </c>
      <c r="H104" s="173">
        <f t="shared" si="5"/>
        <v>2566100.7590544475</v>
      </c>
      <c r="I104" s="173">
        <f t="shared" si="5"/>
        <v>2548735.5758512919</v>
      </c>
      <c r="J104" s="173">
        <f t="shared" si="5"/>
        <v>2531488.3760307352</v>
      </c>
      <c r="K104" s="173">
        <f t="shared" si="5"/>
        <v>2514358.3547868812</v>
      </c>
      <c r="L104" s="173">
        <f t="shared" si="5"/>
        <v>2497344.7128254785</v>
      </c>
    </row>
    <row r="105" spans="1:12">
      <c r="A105" s="164" t="s">
        <v>3916</v>
      </c>
      <c r="B105" s="94">
        <f>372-'اوراق بدون ریسک'!$AD$19</f>
        <v>259</v>
      </c>
      <c r="C105" s="165">
        <f t="shared" si="6"/>
        <v>2640366.5309688835</v>
      </c>
      <c r="D105" s="165">
        <f t="shared" si="6"/>
        <v>2621706.5201858236</v>
      </c>
      <c r="E105" s="165">
        <f t="shared" si="5"/>
        <v>2603178.8890709998</v>
      </c>
      <c r="F105" s="165">
        <f t="shared" si="5"/>
        <v>2584782.6948973103</v>
      </c>
      <c r="G105" s="165">
        <f t="shared" si="5"/>
        <v>2566517.0016769799</v>
      </c>
      <c r="H105" s="165">
        <f t="shared" si="5"/>
        <v>2548380.8801122885</v>
      </c>
      <c r="I105" s="165">
        <f t="shared" si="5"/>
        <v>2530373.4075487461</v>
      </c>
      <c r="J105" s="165">
        <f t="shared" si="5"/>
        <v>2512493.6679268773</v>
      </c>
      <c r="K105" s="165">
        <f t="shared" si="5"/>
        <v>2494740.7517347573</v>
      </c>
      <c r="L105" s="165">
        <f t="shared" si="5"/>
        <v>2477113.7559611816</v>
      </c>
    </row>
    <row r="106" spans="1:12">
      <c r="A106" s="158" t="s">
        <v>3917</v>
      </c>
      <c r="B106" s="159">
        <f>391-'اوراق بدون ریسک'!$AD$19</f>
        <v>278</v>
      </c>
      <c r="C106" s="160">
        <f t="shared" si="6"/>
        <v>2615748.2430917523</v>
      </c>
      <c r="D106" s="160">
        <f t="shared" si="6"/>
        <v>2595911.2516653342</v>
      </c>
      <c r="E106" s="160">
        <f t="shared" si="5"/>
        <v>2576225.2346073883</v>
      </c>
      <c r="F106" s="160">
        <f t="shared" si="5"/>
        <v>2556689.0388029348</v>
      </c>
      <c r="G106" s="160">
        <f t="shared" si="5"/>
        <v>2537301.5199757647</v>
      </c>
      <c r="H106" s="160">
        <f t="shared" si="5"/>
        <v>2518061.5426194938</v>
      </c>
      <c r="I106" s="160">
        <f t="shared" si="5"/>
        <v>2498967.9799313489</v>
      </c>
      <c r="J106" s="160">
        <f t="shared" si="5"/>
        <v>2480019.713744645</v>
      </c>
      <c r="K106" s="160">
        <f t="shared" si="5"/>
        <v>2461215.6344622099</v>
      </c>
      <c r="L106" s="160">
        <f t="shared" si="5"/>
        <v>2442554.6409906247</v>
      </c>
    </row>
    <row r="107" spans="1:12">
      <c r="A107" s="164" t="s">
        <v>3918</v>
      </c>
      <c r="B107" s="94">
        <f>407-'اوراق بدون ریسک'!$AD$19</f>
        <v>294</v>
      </c>
      <c r="C107" s="165">
        <f t="shared" si="6"/>
        <v>2595195.1746378206</v>
      </c>
      <c r="D107" s="165">
        <f t="shared" si="6"/>
        <v>2574385.8776987977</v>
      </c>
      <c r="E107" s="165">
        <f t="shared" si="6"/>
        <v>2553744.000869751</v>
      </c>
      <c r="F107" s="165">
        <f t="shared" si="6"/>
        <v>2533268.1926518208</v>
      </c>
      <c r="G107" s="165">
        <f t="shared" si="6"/>
        <v>2512957.1124929697</v>
      </c>
      <c r="H107" s="165">
        <f t="shared" si="6"/>
        <v>2492809.4306980111</v>
      </c>
      <c r="I107" s="165">
        <f t="shared" si="6"/>
        <v>2472823.8283416927</v>
      </c>
      <c r="J107" s="165">
        <f t="shared" si="6"/>
        <v>2452998.9971805657</v>
      </c>
      <c r="K107" s="165">
        <f t="shared" si="6"/>
        <v>2433333.6395660248</v>
      </c>
      <c r="L107" s="165">
        <f t="shared" si="6"/>
        <v>2413826.4683583807</v>
      </c>
    </row>
    <row r="108" spans="1:12">
      <c r="A108" s="155" t="s">
        <v>3919</v>
      </c>
      <c r="B108" s="156">
        <f>573-'اوراق بدون ریسک'!$AD$19</f>
        <v>460</v>
      </c>
      <c r="C108" s="157">
        <f t="shared" si="6"/>
        <v>2391256.3341711657</v>
      </c>
      <c r="D108" s="157">
        <f t="shared" si="6"/>
        <v>2361324.1339247786</v>
      </c>
      <c r="E108" s="157">
        <f t="shared" si="6"/>
        <v>2331767.4098786092</v>
      </c>
      <c r="F108" s="157">
        <f t="shared" si="6"/>
        <v>2302581.4418869233</v>
      </c>
      <c r="G108" s="157">
        <f t="shared" si="6"/>
        <v>2273761.5692685931</v>
      </c>
      <c r="H108" s="157">
        <f t="shared" si="6"/>
        <v>2245303.1900549401</v>
      </c>
      <c r="I108" s="157">
        <f t="shared" si="6"/>
        <v>2217201.7602503719</v>
      </c>
      <c r="J108" s="157">
        <f t="shared" si="6"/>
        <v>2189452.7930996553</v>
      </c>
      <c r="K108" s="157">
        <f t="shared" si="6"/>
        <v>2162051.8583651069</v>
      </c>
      <c r="L108" s="157">
        <f t="shared" si="6"/>
        <v>2134994.5816133698</v>
      </c>
    </row>
    <row r="109" spans="1:12">
      <c r="A109" s="164" t="s">
        <v>3920</v>
      </c>
      <c r="B109" s="94">
        <f>579-'اوراق بدون ریسک'!$AD$19</f>
        <v>466</v>
      </c>
      <c r="C109" s="165">
        <f t="shared" si="6"/>
        <v>2384193.0324381622</v>
      </c>
      <c r="D109" s="165">
        <f t="shared" si="6"/>
        <v>2353962.4575554188</v>
      </c>
      <c r="E109" s="165">
        <f t="shared" si="6"/>
        <v>2324116.0058674789</v>
      </c>
      <c r="F109" s="165">
        <f t="shared" si="6"/>
        <v>2294648.7862150944</v>
      </c>
      <c r="G109" s="165">
        <f t="shared" si="6"/>
        <v>2265555.9698514463</v>
      </c>
      <c r="H109" s="165">
        <f t="shared" si="6"/>
        <v>2236832.7896426367</v>
      </c>
      <c r="I109" s="165">
        <f t="shared" si="6"/>
        <v>2208474.5392817259</v>
      </c>
      <c r="J109" s="165">
        <f t="shared" si="6"/>
        <v>2180476.5725101135</v>
      </c>
      <c r="K109" s="165">
        <f t="shared" si="6"/>
        <v>2152834.3023495302</v>
      </c>
      <c r="L109" s="165">
        <f t="shared" si="6"/>
        <v>2125543.2003443316</v>
      </c>
    </row>
    <row r="110" spans="1:12">
      <c r="A110" s="158" t="s">
        <v>3921</v>
      </c>
      <c r="B110" s="159">
        <f>753-'اوراق بدون ریسک'!$AD$19</f>
        <v>640</v>
      </c>
      <c r="C110" s="160">
        <f t="shared" si="6"/>
        <v>2188187.658382236</v>
      </c>
      <c r="D110" s="160">
        <f t="shared" si="6"/>
        <v>2150172.9571913267</v>
      </c>
      <c r="E110" s="160">
        <f t="shared" si="6"/>
        <v>2112819.687460647</v>
      </c>
      <c r="F110" s="160">
        <f t="shared" si="6"/>
        <v>2076116.3230656525</v>
      </c>
      <c r="G110" s="160">
        <f t="shared" si="6"/>
        <v>2040051.5390442905</v>
      </c>
      <c r="H110" s="160">
        <f t="shared" si="6"/>
        <v>2004614.2080790184</v>
      </c>
      <c r="I110" s="160">
        <f t="shared" si="6"/>
        <v>1969793.397044515</v>
      </c>
      <c r="J110" s="160">
        <f t="shared" si="6"/>
        <v>1935578.3636124223</v>
      </c>
      <c r="K110" s="160">
        <f t="shared" si="6"/>
        <v>1901958.552916334</v>
      </c>
      <c r="L110" s="160">
        <f t="shared" si="6"/>
        <v>1868923.5942757139</v>
      </c>
    </row>
    <row r="111" spans="1:12">
      <c r="A111" s="171" t="s">
        <v>3922</v>
      </c>
      <c r="B111" s="172">
        <f>757-'اوراق بدون ریسک'!$AD$19</f>
        <v>644</v>
      </c>
      <c r="C111" s="173">
        <f t="shared" si="6"/>
        <v>2183876.5497879079</v>
      </c>
      <c r="D111" s="173">
        <f t="shared" si="6"/>
        <v>2145701.7049994455</v>
      </c>
      <c r="E111" s="173">
        <f t="shared" si="6"/>
        <v>2108195.1864575041</v>
      </c>
      <c r="F111" s="173">
        <f t="shared" si="6"/>
        <v>2071345.2759662096</v>
      </c>
      <c r="G111" s="173">
        <f t="shared" si="6"/>
        <v>2035140.4611053606</v>
      </c>
      <c r="H111" s="173">
        <f t="shared" si="6"/>
        <v>1999569.4316096574</v>
      </c>
      <c r="I111" s="173">
        <f t="shared" si="6"/>
        <v>1964621.0758158371</v>
      </c>
      <c r="J111" s="173">
        <f t="shared" si="6"/>
        <v>1930284.4771689589</v>
      </c>
      <c r="K111" s="173">
        <f t="shared" si="6"/>
        <v>1896548.9107910504</v>
      </c>
      <c r="L111" s="173">
        <f t="shared" si="6"/>
        <v>1863403.8401107329</v>
      </c>
    </row>
    <row r="112" spans="1:12">
      <c r="A112" s="155" t="s">
        <v>3923</v>
      </c>
      <c r="B112" s="156">
        <f>774-'اوراق بدون ریسک'!$AD$19</f>
        <v>661</v>
      </c>
      <c r="C112" s="157">
        <f t="shared" si="6"/>
        <v>2165648.8933055308</v>
      </c>
      <c r="D112" s="157">
        <f t="shared" si="6"/>
        <v>2126802.3794899806</v>
      </c>
      <c r="E112" s="157">
        <f t="shared" si="6"/>
        <v>2088653.7135803062</v>
      </c>
      <c r="F112" s="157">
        <f t="shared" si="6"/>
        <v>2051190.3406768588</v>
      </c>
      <c r="G112" s="157">
        <f t="shared" si="6"/>
        <v>2014399.9320887676</v>
      </c>
      <c r="H112" s="157">
        <f t="shared" si="6"/>
        <v>1978270.3812503696</v>
      </c>
      <c r="I112" s="157">
        <f t="shared" si="6"/>
        <v>1942789.7997156149</v>
      </c>
      <c r="J112" s="157">
        <f t="shared" si="6"/>
        <v>1907946.5132213801</v>
      </c>
      <c r="K112" s="157">
        <f t="shared" si="6"/>
        <v>1873729.0578227616</v>
      </c>
      <c r="L112" s="157">
        <f t="shared" si="6"/>
        <v>1840126.1760987451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>
      <c r="A249" s="74" t="s">
        <v>3989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3976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>
      <c r="A251" s="105" t="s">
        <v>3981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3984</v>
      </c>
    </row>
    <row r="252" spans="1:7">
      <c r="A252" s="105" t="s">
        <v>3981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3985</v>
      </c>
    </row>
    <row r="253" spans="1:7">
      <c r="A253" s="105" t="s">
        <v>3981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3985</v>
      </c>
    </row>
    <row r="254" spans="1:7">
      <c r="A254" s="105" t="s">
        <v>3981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3990</v>
      </c>
    </row>
    <row r="255" spans="1:7">
      <c r="A255" s="105" t="s">
        <v>3992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3995</v>
      </c>
    </row>
    <row r="256" spans="1:7">
      <c r="A256" s="105" t="s">
        <v>3992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>
      <c r="A257" s="105" t="s">
        <v>3997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3998</v>
      </c>
    </row>
    <row r="258" spans="1:7">
      <c r="A258" s="105" t="s">
        <v>3997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3999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3988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3774</v>
      </c>
      <c r="I1" t="s">
        <v>3780</v>
      </c>
    </row>
    <row r="2" spans="1:12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>
      <c r="A3">
        <v>2</v>
      </c>
      <c r="B3" t="s">
        <v>3769</v>
      </c>
      <c r="G3" s="129"/>
      <c r="H3" t="s">
        <v>3776</v>
      </c>
      <c r="I3" t="s">
        <v>3782</v>
      </c>
    </row>
    <row r="4" spans="1:12">
      <c r="A4">
        <v>3</v>
      </c>
      <c r="B4" t="s">
        <v>3770</v>
      </c>
      <c r="H4" t="s">
        <v>3777</v>
      </c>
      <c r="L4" s="129"/>
    </row>
    <row r="5" spans="1:12">
      <c r="H5" t="s">
        <v>3779</v>
      </c>
    </row>
    <row r="6" spans="1:12">
      <c r="B6" s="129" t="s">
        <v>3773</v>
      </c>
      <c r="H6" t="s">
        <v>3783</v>
      </c>
    </row>
    <row r="7" spans="1:12">
      <c r="H7" t="s">
        <v>3784</v>
      </c>
    </row>
    <row r="8" spans="1:12">
      <c r="H8" t="s">
        <v>3785</v>
      </c>
    </row>
    <row r="9" spans="1:12">
      <c r="H9" t="s">
        <v>3798</v>
      </c>
    </row>
    <row r="10" spans="1:12">
      <c r="H10" t="s">
        <v>3799</v>
      </c>
    </row>
    <row r="11" spans="1:12">
      <c r="H11" t="s">
        <v>3800</v>
      </c>
    </row>
    <row r="12" spans="1:12">
      <c r="H12" t="s">
        <v>3802</v>
      </c>
    </row>
    <row r="13" spans="1:12">
      <c r="H13" t="s">
        <v>3801</v>
      </c>
    </row>
    <row r="18" spans="1:8">
      <c r="A18" s="105" t="s">
        <v>3786</v>
      </c>
      <c r="B18" s="105"/>
      <c r="C18" s="105"/>
      <c r="D18" s="105"/>
    </row>
    <row r="19" spans="1:8">
      <c r="A19" s="105">
        <v>1</v>
      </c>
      <c r="B19" s="105" t="s">
        <v>3787</v>
      </c>
      <c r="C19" s="105" t="s">
        <v>3789</v>
      </c>
      <c r="D19" s="105"/>
    </row>
    <row r="20" spans="1:8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3796</v>
      </c>
      <c r="H38" s="22"/>
    </row>
    <row r="39" spans="1:8">
      <c r="A39">
        <v>1</v>
      </c>
      <c r="B39" t="s">
        <v>3793</v>
      </c>
    </row>
    <row r="40" spans="1:8">
      <c r="A40">
        <v>2</v>
      </c>
      <c r="B40" t="s">
        <v>3797</v>
      </c>
    </row>
    <row r="41" spans="1:8">
      <c r="A41">
        <v>3</v>
      </c>
      <c r="B41" t="s">
        <v>3794</v>
      </c>
    </row>
    <row r="42" spans="1:8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4009</v>
      </c>
      <c r="D3" t="s">
        <v>4008</v>
      </c>
      <c r="G3" t="s">
        <v>4010</v>
      </c>
      <c r="H3">
        <f>(D5-D4)/(C5-C4)</f>
        <v>-3.9999999999999998E-6</v>
      </c>
    </row>
    <row r="4" spans="2:19">
      <c r="B4">
        <v>1</v>
      </c>
      <c r="C4" s="116">
        <v>1500000</v>
      </c>
      <c r="D4">
        <v>20</v>
      </c>
      <c r="G4" t="s">
        <v>4011</v>
      </c>
      <c r="H4">
        <f>D4-H3*C4</f>
        <v>26</v>
      </c>
    </row>
    <row r="5" spans="2:19">
      <c r="B5">
        <v>2</v>
      </c>
      <c r="C5" s="116">
        <v>5000000</v>
      </c>
      <c r="D5">
        <v>6</v>
      </c>
    </row>
    <row r="6" spans="2:19">
      <c r="B6">
        <v>3</v>
      </c>
      <c r="C6" s="116">
        <v>2840000</v>
      </c>
      <c r="D6">
        <f>H3*C6+H4</f>
        <v>14.64</v>
      </c>
    </row>
    <row r="7" spans="2:19">
      <c r="B7">
        <v>4</v>
      </c>
    </row>
    <row r="8" spans="2:19">
      <c r="Q8" t="s">
        <v>3899</v>
      </c>
      <c r="R8" t="s">
        <v>3954</v>
      </c>
      <c r="S8" t="s">
        <v>4021</v>
      </c>
    </row>
    <row r="9" spans="2:19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945</v>
      </c>
      <c r="Q11" s="116">
        <v>77000</v>
      </c>
      <c r="R11" s="116">
        <v>59000</v>
      </c>
      <c r="S11" s="116">
        <v>58000</v>
      </c>
    </row>
    <row r="12" spans="2:19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72" activePane="bottomLeft" state="frozen"/>
      <selection pane="bottomLeft" activeCell="D182" sqref="D182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598</v>
      </c>
      <c r="F2" s="11">
        <f>IF(B2&gt;0,1,0)</f>
        <v>1</v>
      </c>
      <c r="G2" s="11">
        <f>B2*(E2-F2)</f>
        <v>29850000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594</v>
      </c>
      <c r="F3" s="11">
        <f t="shared" ref="F3:F38" si="1">IF(B3&gt;0,1,0)</f>
        <v>1</v>
      </c>
      <c r="G3" s="11">
        <f t="shared" ref="G3:G23" si="2">B3*(E3-F3)</f>
        <v>1779000000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593</v>
      </c>
      <c r="F4" s="11">
        <f t="shared" si="1"/>
        <v>1</v>
      </c>
      <c r="G4" s="11">
        <f t="shared" si="2"/>
        <v>1776000000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593</v>
      </c>
      <c r="F5" s="11">
        <f t="shared" si="1"/>
        <v>1</v>
      </c>
      <c r="G5" s="11">
        <f t="shared" si="2"/>
        <v>8880000000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592</v>
      </c>
      <c r="F6" s="11">
        <f t="shared" si="1"/>
        <v>1</v>
      </c>
      <c r="G6" s="11">
        <f t="shared" si="2"/>
        <v>1773000000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3973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591</v>
      </c>
      <c r="F7" s="11">
        <f t="shared" si="1"/>
        <v>0</v>
      </c>
      <c r="G7" s="11">
        <f t="shared" si="2"/>
        <v>-1773000000</v>
      </c>
      <c r="K7" t="s">
        <v>289</v>
      </c>
      <c r="L7" s="34">
        <v>410023384051</v>
      </c>
      <c r="M7" s="33" t="s">
        <v>326</v>
      </c>
      <c r="N7" t="s">
        <v>3974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591</v>
      </c>
      <c r="F8" s="11">
        <f t="shared" si="1"/>
        <v>0</v>
      </c>
      <c r="G8" s="11">
        <f t="shared" si="2"/>
        <v>-118200000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591</v>
      </c>
      <c r="F9" s="11">
        <f t="shared" si="1"/>
        <v>1</v>
      </c>
      <c r="G9" s="11">
        <f>B9*(E9-F9)</f>
        <v>1770000000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590</v>
      </c>
      <c r="F10" s="11">
        <f t="shared" si="1"/>
        <v>1</v>
      </c>
      <c r="G10" s="11">
        <f t="shared" si="2"/>
        <v>1767000000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590</v>
      </c>
      <c r="F11" s="11">
        <f t="shared" si="1"/>
        <v>1</v>
      </c>
      <c r="G11" s="11">
        <f t="shared" si="2"/>
        <v>14725000000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587</v>
      </c>
      <c r="F12" s="11">
        <f t="shared" si="1"/>
        <v>1</v>
      </c>
      <c r="G12" s="11">
        <f t="shared" si="2"/>
        <v>585021380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587</v>
      </c>
      <c r="F13" s="11">
        <f t="shared" si="1"/>
        <v>1</v>
      </c>
      <c r="G13" s="11">
        <f t="shared" si="2"/>
        <v>1758000000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587</v>
      </c>
      <c r="F14" s="11">
        <f t="shared" si="1"/>
        <v>1</v>
      </c>
      <c r="G14" s="11">
        <f t="shared" si="2"/>
        <v>697982256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575</v>
      </c>
      <c r="F15" s="11">
        <f t="shared" si="1"/>
        <v>1</v>
      </c>
      <c r="G15" s="11">
        <f t="shared" si="2"/>
        <v>1148000000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563</v>
      </c>
      <c r="F16" s="11">
        <f t="shared" si="1"/>
        <v>1</v>
      </c>
      <c r="G16" s="11">
        <f t="shared" si="2"/>
        <v>1686000000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562</v>
      </c>
      <c r="F17" s="11">
        <f t="shared" si="1"/>
        <v>1</v>
      </c>
      <c r="G17" s="11">
        <f t="shared" si="2"/>
        <v>1683000000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561</v>
      </c>
      <c r="F18" s="11">
        <f t="shared" si="1"/>
        <v>1</v>
      </c>
      <c r="G18" s="11">
        <f t="shared" si="2"/>
        <v>1064000000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546</v>
      </c>
      <c r="F19" s="11">
        <f t="shared" si="1"/>
        <v>1</v>
      </c>
      <c r="G19" s="11">
        <f t="shared" si="2"/>
        <v>438459585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545</v>
      </c>
      <c r="F20" s="11">
        <f t="shared" si="1"/>
        <v>1</v>
      </c>
      <c r="G20" s="11">
        <f t="shared" si="2"/>
        <v>1632000000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539</v>
      </c>
      <c r="F21" s="11">
        <f t="shared" si="1"/>
        <v>1</v>
      </c>
      <c r="G21" s="11">
        <f t="shared" si="2"/>
        <v>269000000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525</v>
      </c>
      <c r="F22" s="11">
        <f t="shared" si="1"/>
        <v>0</v>
      </c>
      <c r="G22" s="11">
        <f t="shared" si="2"/>
        <v>-1575000000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517</v>
      </c>
      <c r="F23" s="11">
        <f t="shared" si="1"/>
        <v>1</v>
      </c>
      <c r="G23" s="11">
        <f t="shared" si="2"/>
        <v>1548000000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517</v>
      </c>
      <c r="F24" s="11">
        <f t="shared" si="1"/>
        <v>1</v>
      </c>
      <c r="G24" s="11">
        <f>B24*(E24-F24)</f>
        <v>325514988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515</v>
      </c>
      <c r="F25" s="11">
        <f t="shared" si="1"/>
        <v>0</v>
      </c>
      <c r="G25" s="11">
        <f t="shared" ref="G25:G30" si="3">B25*(E25-F25)</f>
        <v>-1648463500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513</v>
      </c>
      <c r="F26" s="11">
        <f t="shared" si="1"/>
        <v>0</v>
      </c>
      <c r="G26" s="11">
        <f t="shared" si="3"/>
        <v>-1539461700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511</v>
      </c>
      <c r="F27" s="11">
        <f t="shared" si="1"/>
        <v>1</v>
      </c>
      <c r="G27" s="11">
        <f t="shared" si="3"/>
        <v>510000000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511</v>
      </c>
      <c r="F28" s="11">
        <f t="shared" si="1"/>
        <v>1</v>
      </c>
      <c r="G28" s="11">
        <f t="shared" si="3"/>
        <v>3060000000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511</v>
      </c>
      <c r="F29" s="11">
        <f t="shared" si="1"/>
        <v>1</v>
      </c>
      <c r="G29" s="11">
        <f t="shared" si="3"/>
        <v>2958000000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511</v>
      </c>
      <c r="F30" s="11">
        <f t="shared" si="1"/>
        <v>0</v>
      </c>
      <c r="G30" s="11">
        <f t="shared" si="3"/>
        <v>-2555000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510</v>
      </c>
      <c r="F31" s="11">
        <f t="shared" si="1"/>
        <v>0</v>
      </c>
      <c r="G31" s="11">
        <f>B31*(E31-F31)</f>
        <v>-13260000000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508</v>
      </c>
      <c r="F32" s="11">
        <f t="shared" si="1"/>
        <v>0</v>
      </c>
      <c r="G32" s="11">
        <f>B32*(E32-F32)</f>
        <v>-13309600000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489</v>
      </c>
      <c r="F33" s="11">
        <f t="shared" si="1"/>
        <v>1</v>
      </c>
      <c r="G33" s="11">
        <f>B33*(E33-F33)</f>
        <v>159578440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471</v>
      </c>
      <c r="F34" s="11">
        <f t="shared" si="1"/>
        <v>1</v>
      </c>
      <c r="G34" s="11">
        <f t="shared" ref="G34:G195" si="4">B34*(E34-F34)</f>
        <v>13348000000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471</v>
      </c>
      <c r="F35" s="11">
        <f t="shared" si="1"/>
        <v>1</v>
      </c>
      <c r="G35" s="12">
        <f t="shared" si="4"/>
        <v>5170000000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456</v>
      </c>
      <c r="F36" s="11">
        <f t="shared" si="1"/>
        <v>1</v>
      </c>
      <c r="G36" s="11">
        <f t="shared" si="4"/>
        <v>190508955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456</v>
      </c>
      <c r="F37" s="11">
        <f t="shared" si="1"/>
        <v>0</v>
      </c>
      <c r="G37" s="11">
        <f t="shared" si="4"/>
        <v>-410400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455</v>
      </c>
      <c r="F38" s="11">
        <f t="shared" si="1"/>
        <v>1</v>
      </c>
      <c r="G38" s="12">
        <f t="shared" si="4"/>
        <v>908000000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455</v>
      </c>
      <c r="F39" s="11">
        <f>IF(B39&gt;0,1,0)</f>
        <v>1</v>
      </c>
      <c r="G39" s="11">
        <f t="shared" si="4"/>
        <v>908000000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441</v>
      </c>
      <c r="F40" s="11">
        <f>IF(B40&gt;0,1,0)</f>
        <v>0</v>
      </c>
      <c r="G40" s="11">
        <f t="shared" si="4"/>
        <v>-88200000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441</v>
      </c>
      <c r="F41" s="11">
        <f>IF(B41&gt;0,1,0)</f>
        <v>0</v>
      </c>
      <c r="G41" s="11">
        <f t="shared" si="4"/>
        <v>-273420000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441</v>
      </c>
      <c r="F42" s="11">
        <f t="shared" ref="F42:F195" si="5">IF(B42&gt;0,1,0)</f>
        <v>0</v>
      </c>
      <c r="G42" s="11">
        <f t="shared" si="4"/>
        <v>-52920000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439</v>
      </c>
      <c r="F43" s="11">
        <f t="shared" si="5"/>
        <v>1</v>
      </c>
      <c r="G43" s="11">
        <f t="shared" si="4"/>
        <v>284700000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439</v>
      </c>
      <c r="F44" s="11">
        <f t="shared" si="5"/>
        <v>0</v>
      </c>
      <c r="G44" s="11">
        <f t="shared" si="4"/>
        <v>-2195000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439</v>
      </c>
      <c r="F45" s="11">
        <f t="shared" si="5"/>
        <v>1</v>
      </c>
      <c r="G45" s="11">
        <f t="shared" si="4"/>
        <v>12702000000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435</v>
      </c>
      <c r="F46" s="11">
        <f t="shared" si="5"/>
        <v>0</v>
      </c>
      <c r="G46" s="11">
        <f t="shared" si="4"/>
        <v>-87000000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432</v>
      </c>
      <c r="F47" s="11">
        <f t="shared" si="5"/>
        <v>0</v>
      </c>
      <c r="G47" s="11">
        <f t="shared" si="4"/>
        <v>-86400000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431</v>
      </c>
      <c r="F48" s="11">
        <f t="shared" si="5"/>
        <v>0</v>
      </c>
      <c r="G48" s="11">
        <f t="shared" si="4"/>
        <v>-86200000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426</v>
      </c>
      <c r="F49" s="11">
        <f t="shared" si="5"/>
        <v>1</v>
      </c>
      <c r="G49" s="11">
        <f t="shared" si="4"/>
        <v>1275000000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426</v>
      </c>
      <c r="F50" s="11">
        <f t="shared" si="5"/>
        <v>1</v>
      </c>
      <c r="G50" s="12">
        <f t="shared" si="4"/>
        <v>1275000000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425</v>
      </c>
      <c r="F51" s="11">
        <f t="shared" si="5"/>
        <v>1</v>
      </c>
      <c r="G51" s="11">
        <f t="shared" si="4"/>
        <v>324697928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425</v>
      </c>
      <c r="F52" s="11">
        <f t="shared" si="5"/>
        <v>0</v>
      </c>
      <c r="G52" s="11">
        <f t="shared" si="4"/>
        <v>-85000000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418</v>
      </c>
      <c r="F53" s="11">
        <f t="shared" si="5"/>
        <v>0</v>
      </c>
      <c r="G53" s="11">
        <f t="shared" si="4"/>
        <v>-167409000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409</v>
      </c>
      <c r="F54" s="11">
        <f t="shared" si="5"/>
        <v>0</v>
      </c>
      <c r="G54" s="11">
        <f t="shared" si="4"/>
        <v>-409161964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403</v>
      </c>
      <c r="F55" s="11">
        <f t="shared" si="5"/>
        <v>0</v>
      </c>
      <c r="G55" s="11">
        <f t="shared" si="4"/>
        <v>-16120000000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394</v>
      </c>
      <c r="F56" s="11">
        <f t="shared" si="5"/>
        <v>1</v>
      </c>
      <c r="G56" s="11">
        <f t="shared" si="4"/>
        <v>340201236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367</v>
      </c>
      <c r="F57" s="11">
        <f t="shared" si="5"/>
        <v>0</v>
      </c>
      <c r="G57" s="11">
        <f t="shared" si="4"/>
        <v>-18423400000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366</v>
      </c>
      <c r="F58" s="11">
        <f t="shared" si="5"/>
        <v>0</v>
      </c>
      <c r="G58" s="11">
        <f t="shared" si="4"/>
        <v>-4465383000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363</v>
      </c>
      <c r="F59" s="11">
        <f t="shared" si="5"/>
        <v>1</v>
      </c>
      <c r="G59" s="11">
        <f t="shared" si="4"/>
        <v>193635972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362</v>
      </c>
      <c r="F60" s="11">
        <f t="shared" si="5"/>
        <v>0</v>
      </c>
      <c r="G60" s="11">
        <f t="shared" si="4"/>
        <v>-122356000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360</v>
      </c>
      <c r="F61" s="11">
        <f t="shared" si="5"/>
        <v>0</v>
      </c>
      <c r="G61" s="11">
        <f t="shared" si="4"/>
        <v>-54000000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356</v>
      </c>
      <c r="F62" s="11">
        <f t="shared" si="5"/>
        <v>0</v>
      </c>
      <c r="G62" s="11">
        <f t="shared" si="4"/>
        <v>-35600000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352</v>
      </c>
      <c r="F63" s="11">
        <f t="shared" si="5"/>
        <v>0</v>
      </c>
      <c r="G63" s="11">
        <f t="shared" si="4"/>
        <v>-70400000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352</v>
      </c>
      <c r="F64" s="11">
        <f t="shared" si="5"/>
        <v>0</v>
      </c>
      <c r="G64" s="11">
        <f t="shared" si="4"/>
        <v>-30624000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348</v>
      </c>
      <c r="F65" s="11">
        <f t="shared" si="5"/>
        <v>0</v>
      </c>
      <c r="G65" s="11">
        <f t="shared" si="4"/>
        <v>-9559560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347</v>
      </c>
      <c r="F66" s="11">
        <f t="shared" si="5"/>
        <v>0</v>
      </c>
      <c r="G66" s="11">
        <f t="shared" si="4"/>
        <v>-115898000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8" si="6">D67+E68</f>
        <v>342</v>
      </c>
      <c r="F67" s="11">
        <f t="shared" si="5"/>
        <v>0</v>
      </c>
      <c r="G67" s="11">
        <f t="shared" si="4"/>
        <v>-6840000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341</v>
      </c>
      <c r="F68" s="11">
        <f t="shared" si="5"/>
        <v>0</v>
      </c>
      <c r="G68" s="11">
        <f t="shared" si="4"/>
        <v>-102470500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341</v>
      </c>
      <c r="F69" s="11">
        <f t="shared" si="5"/>
        <v>0</v>
      </c>
      <c r="G69" s="11">
        <f t="shared" si="4"/>
        <v>-34100000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336</v>
      </c>
      <c r="F70" s="11">
        <f t="shared" si="5"/>
        <v>0</v>
      </c>
      <c r="G70" s="11">
        <f t="shared" si="4"/>
        <v>-67200000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332</v>
      </c>
      <c r="F71" s="11">
        <f t="shared" si="5"/>
        <v>1</v>
      </c>
      <c r="G71" s="11">
        <f t="shared" si="4"/>
        <v>5093759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332</v>
      </c>
      <c r="F72" s="11">
        <f t="shared" si="5"/>
        <v>1</v>
      </c>
      <c r="G72" s="11">
        <f t="shared" si="4"/>
        <v>1324000000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332</v>
      </c>
      <c r="F73" s="11">
        <f t="shared" si="5"/>
        <v>1</v>
      </c>
      <c r="G73" s="11">
        <f t="shared" si="4"/>
        <v>860600000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332</v>
      </c>
      <c r="F74" s="11">
        <f t="shared" si="5"/>
        <v>1</v>
      </c>
      <c r="G74" s="11">
        <f t="shared" si="4"/>
        <v>993000000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329</v>
      </c>
      <c r="F75" s="11">
        <f t="shared" si="5"/>
        <v>0</v>
      </c>
      <c r="G75" s="11">
        <f t="shared" si="4"/>
        <v>-65800000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326</v>
      </c>
      <c r="F76" s="11">
        <f t="shared" si="5"/>
        <v>0</v>
      </c>
      <c r="G76" s="11">
        <f t="shared" si="4"/>
        <v>-652228200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326</v>
      </c>
      <c r="F77" s="11">
        <f t="shared" si="5"/>
        <v>0</v>
      </c>
      <c r="G77" s="11">
        <f t="shared" si="4"/>
        <v>-65200000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322</v>
      </c>
      <c r="F78" s="11">
        <f t="shared" si="5"/>
        <v>1</v>
      </c>
      <c r="G78" s="11">
        <f t="shared" si="4"/>
        <v>642000000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314</v>
      </c>
      <c r="F79" s="11">
        <f t="shared" si="5"/>
        <v>0</v>
      </c>
      <c r="G79" s="11">
        <f t="shared" si="4"/>
        <v>-314157000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314</v>
      </c>
      <c r="F80" s="11">
        <f t="shared" si="5"/>
        <v>0</v>
      </c>
      <c r="G80" s="11">
        <f t="shared" si="4"/>
        <v>-44572300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311</v>
      </c>
      <c r="F81" s="11">
        <f t="shared" si="5"/>
        <v>0</v>
      </c>
      <c r="G81" s="11">
        <f t="shared" si="4"/>
        <v>-280055500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301</v>
      </c>
      <c r="F82" s="11">
        <f t="shared" si="5"/>
        <v>1</v>
      </c>
      <c r="G82" s="11">
        <f t="shared" si="4"/>
        <v>24375300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279</v>
      </c>
      <c r="F83" s="11">
        <f t="shared" si="5"/>
        <v>1</v>
      </c>
      <c r="G83" s="11">
        <f t="shared" si="4"/>
        <v>13900000000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278</v>
      </c>
      <c r="F84" s="11">
        <f t="shared" si="5"/>
        <v>1</v>
      </c>
      <c r="G84" s="11">
        <f t="shared" si="4"/>
        <v>8310000000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278</v>
      </c>
      <c r="F85" s="11">
        <f t="shared" si="5"/>
        <v>0</v>
      </c>
      <c r="G85" s="11">
        <f t="shared" si="4"/>
        <v>-20155000000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277</v>
      </c>
      <c r="F86" s="11">
        <f t="shared" si="5"/>
        <v>0</v>
      </c>
      <c r="G86" s="11">
        <f t="shared" si="4"/>
        <v>-77837000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272</v>
      </c>
      <c r="F87" s="11">
        <f t="shared" si="5"/>
        <v>1</v>
      </c>
      <c r="G87" s="11">
        <f t="shared" si="4"/>
        <v>677500000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271</v>
      </c>
      <c r="F88" s="11">
        <f t="shared" si="5"/>
        <v>1</v>
      </c>
      <c r="G88" s="11">
        <f t="shared" si="4"/>
        <v>21151800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266</v>
      </c>
      <c r="F89" s="11">
        <f t="shared" si="5"/>
        <v>1</v>
      </c>
      <c r="G89" s="11">
        <f t="shared" si="4"/>
        <v>3975000000</v>
      </c>
    </row>
    <row r="90" spans="1:7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241</v>
      </c>
      <c r="F90" s="11">
        <f t="shared" si="5"/>
        <v>1</v>
      </c>
      <c r="G90" s="11">
        <f t="shared" si="4"/>
        <v>58763040</v>
      </c>
    </row>
    <row r="91" spans="1:7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212</v>
      </c>
      <c r="F91" s="11">
        <f t="shared" si="5"/>
        <v>1</v>
      </c>
      <c r="G91" s="11">
        <f t="shared" si="4"/>
        <v>57424705</v>
      </c>
    </row>
    <row r="92" spans="1:7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182</v>
      </c>
      <c r="F92" s="11">
        <f t="shared" si="5"/>
        <v>1</v>
      </c>
      <c r="G92" s="11">
        <f t="shared" si="4"/>
        <v>543000000</v>
      </c>
    </row>
    <row r="93" spans="1:7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182</v>
      </c>
      <c r="F93" s="11">
        <f t="shared" si="5"/>
        <v>1</v>
      </c>
      <c r="G93" s="11">
        <f t="shared" si="4"/>
        <v>49663685</v>
      </c>
    </row>
    <row r="94" spans="1:7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181</v>
      </c>
      <c r="F94" s="11">
        <f t="shared" si="5"/>
        <v>1</v>
      </c>
      <c r="G94" s="11">
        <f t="shared" si="4"/>
        <v>990000000</v>
      </c>
    </row>
    <row r="95" spans="1:7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180</v>
      </c>
      <c r="F95" s="11">
        <f t="shared" si="5"/>
        <v>1</v>
      </c>
      <c r="G95" s="11">
        <f t="shared" si="4"/>
        <v>537000000</v>
      </c>
    </row>
    <row r="96" spans="1:7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179</v>
      </c>
      <c r="F96" s="11">
        <f t="shared" si="5"/>
        <v>1</v>
      </c>
      <c r="G96" s="11">
        <f t="shared" si="4"/>
        <v>534000000</v>
      </c>
    </row>
    <row r="97" spans="1:7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178</v>
      </c>
      <c r="F97" s="11">
        <f t="shared" si="5"/>
        <v>1</v>
      </c>
      <c r="G97" s="11">
        <f t="shared" si="4"/>
        <v>531000000</v>
      </c>
    </row>
    <row r="98" spans="1:7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177</v>
      </c>
      <c r="F98" s="11">
        <f t="shared" si="5"/>
        <v>1</v>
      </c>
      <c r="G98" s="11">
        <f t="shared" si="4"/>
        <v>528000000</v>
      </c>
    </row>
    <row r="99" spans="1:7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176</v>
      </c>
      <c r="F99" s="11">
        <f t="shared" si="5"/>
        <v>1</v>
      </c>
      <c r="G99" s="11">
        <f t="shared" si="4"/>
        <v>525000000</v>
      </c>
    </row>
    <row r="100" spans="1:7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174</v>
      </c>
      <c r="F100" s="11">
        <f t="shared" si="5"/>
        <v>1</v>
      </c>
      <c r="G100" s="11">
        <f t="shared" si="4"/>
        <v>172913500</v>
      </c>
    </row>
    <row r="101" spans="1:7" ht="30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173</v>
      </c>
      <c r="F101" s="11">
        <f t="shared" si="5"/>
        <v>0</v>
      </c>
      <c r="G101" s="11">
        <f t="shared" si="4"/>
        <v>-343699100</v>
      </c>
    </row>
    <row r="102" spans="1:7" ht="30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152</v>
      </c>
      <c r="F102" s="11">
        <f t="shared" si="5"/>
        <v>1</v>
      </c>
      <c r="G102" s="11">
        <f t="shared" si="4"/>
        <v>453000000</v>
      </c>
    </row>
    <row r="103" spans="1:7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152</v>
      </c>
      <c r="F103" s="11">
        <f t="shared" si="5"/>
        <v>1</v>
      </c>
      <c r="G103" s="11">
        <f t="shared" si="4"/>
        <v>44620500</v>
      </c>
    </row>
    <row r="104" spans="1:7">
      <c r="A104" s="187" t="s">
        <v>25</v>
      </c>
      <c r="B104" s="188"/>
      <c r="C104" s="189"/>
      <c r="D104" s="187"/>
      <c r="E104" s="187"/>
      <c r="F104" s="187"/>
      <c r="G104" s="187"/>
    </row>
    <row r="105" spans="1:7">
      <c r="A105" s="105" t="s">
        <v>4029</v>
      </c>
      <c r="B105" s="38">
        <f>SUM(B2:B103)</f>
        <v>59475793</v>
      </c>
      <c r="C105" s="73" t="s">
        <v>4028</v>
      </c>
      <c r="D105" s="105">
        <v>1</v>
      </c>
      <c r="E105" s="105">
        <f>D105+E106</f>
        <v>138</v>
      </c>
      <c r="F105" s="105">
        <f t="shared" si="5"/>
        <v>1</v>
      </c>
      <c r="G105" s="105">
        <f t="shared" si="4"/>
        <v>8148183641</v>
      </c>
    </row>
    <row r="106" spans="1:7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137</v>
      </c>
      <c r="F106" s="11">
        <f t="shared" si="5"/>
        <v>0</v>
      </c>
      <c r="G106" s="11">
        <f t="shared" si="4"/>
        <v>-1370000</v>
      </c>
    </row>
    <row r="107" spans="1:7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131</v>
      </c>
      <c r="F107" s="11">
        <f t="shared" si="5"/>
        <v>1</v>
      </c>
      <c r="G107" s="11">
        <f t="shared" si="4"/>
        <v>259870000</v>
      </c>
    </row>
    <row r="108" spans="1:7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126</v>
      </c>
      <c r="F108" s="11">
        <f t="shared" si="5"/>
        <v>0</v>
      </c>
      <c r="G108" s="11">
        <f t="shared" si="4"/>
        <v>-7560000000</v>
      </c>
    </row>
    <row r="109" spans="1:7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126</v>
      </c>
      <c r="F109" s="11">
        <f t="shared" si="5"/>
        <v>1</v>
      </c>
      <c r="G109" s="11">
        <f t="shared" si="4"/>
        <v>731250000</v>
      </c>
    </row>
    <row r="110" spans="1:7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125</v>
      </c>
      <c r="F110" s="11">
        <f t="shared" si="5"/>
        <v>1</v>
      </c>
      <c r="G110" s="11">
        <f t="shared" si="4"/>
        <v>372000000</v>
      </c>
    </row>
    <row r="111" spans="1:7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124</v>
      </c>
      <c r="F111" s="11">
        <f t="shared" si="5"/>
        <v>1</v>
      </c>
      <c r="G111" s="11">
        <f t="shared" si="4"/>
        <v>246000000</v>
      </c>
    </row>
    <row r="112" spans="1:7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124</v>
      </c>
      <c r="F112" s="11">
        <f t="shared" si="5"/>
        <v>0</v>
      </c>
      <c r="G112" s="11">
        <f t="shared" si="4"/>
        <v>-620000000</v>
      </c>
    </row>
    <row r="113" spans="1:7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123</v>
      </c>
      <c r="F113" s="11">
        <f t="shared" si="5"/>
        <v>1</v>
      </c>
      <c r="G113" s="11">
        <f t="shared" si="4"/>
        <v>50345496</v>
      </c>
    </row>
    <row r="114" spans="1:7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115</v>
      </c>
      <c r="F114" s="11">
        <f t="shared" si="5"/>
        <v>1</v>
      </c>
      <c r="G114" s="11">
        <f t="shared" si="4"/>
        <v>4788000000</v>
      </c>
    </row>
    <row r="115" spans="1:7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108</v>
      </c>
      <c r="F115" s="11">
        <f t="shared" si="5"/>
        <v>0</v>
      </c>
      <c r="G115" s="11">
        <f t="shared" si="4"/>
        <v>-2700000000</v>
      </c>
    </row>
    <row r="116" spans="1:7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107</v>
      </c>
      <c r="F116" s="11">
        <f t="shared" si="5"/>
        <v>0</v>
      </c>
      <c r="G116" s="11">
        <f t="shared" si="4"/>
        <v>-21400000</v>
      </c>
    </row>
    <row r="117" spans="1:7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105</v>
      </c>
      <c r="F117" s="11">
        <f t="shared" si="5"/>
        <v>0</v>
      </c>
      <c r="G117" s="11">
        <f t="shared" si="4"/>
        <v>-1890000000</v>
      </c>
    </row>
    <row r="118" spans="1:7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104</v>
      </c>
      <c r="F118" s="11">
        <f t="shared" si="5"/>
        <v>0</v>
      </c>
      <c r="G118" s="11">
        <f t="shared" si="4"/>
        <v>-260000000</v>
      </c>
    </row>
    <row r="119" spans="1:7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94</v>
      </c>
      <c r="F119" s="11">
        <f t="shared" si="5"/>
        <v>1</v>
      </c>
      <c r="G119" s="11">
        <f t="shared" si="4"/>
        <v>55335000</v>
      </c>
    </row>
    <row r="120" spans="1:7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92</v>
      </c>
      <c r="F120" s="11">
        <f t="shared" si="5"/>
        <v>1</v>
      </c>
      <c r="G120" s="11">
        <f t="shared" si="4"/>
        <v>12497394</v>
      </c>
    </row>
    <row r="121" spans="1:7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90</v>
      </c>
      <c r="F121" s="11">
        <f t="shared" si="5"/>
        <v>0</v>
      </c>
      <c r="G121" s="11">
        <f t="shared" si="4"/>
        <v>-288081000</v>
      </c>
    </row>
    <row r="122" spans="1:7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89</v>
      </c>
      <c r="F122" s="11">
        <f t="shared" si="5"/>
        <v>1</v>
      </c>
      <c r="G122" s="11">
        <f t="shared" si="4"/>
        <v>1432288000</v>
      </c>
    </row>
    <row r="123" spans="1:7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86</v>
      </c>
      <c r="F123" s="11">
        <f t="shared" si="5"/>
        <v>1</v>
      </c>
      <c r="G123" s="105">
        <f t="shared" si="4"/>
        <v>255000000</v>
      </c>
    </row>
    <row r="124" spans="1:7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86</v>
      </c>
      <c r="F124" s="105">
        <f t="shared" si="5"/>
        <v>1</v>
      </c>
      <c r="G124" s="105">
        <f t="shared" si="4"/>
        <v>171700000</v>
      </c>
    </row>
    <row r="125" spans="1:7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86</v>
      </c>
      <c r="F125" s="105">
        <f t="shared" si="5"/>
        <v>1</v>
      </c>
      <c r="G125" s="105">
        <f t="shared" si="4"/>
        <v>422875000</v>
      </c>
    </row>
    <row r="126" spans="1:7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85</v>
      </c>
      <c r="F126" s="105">
        <f t="shared" si="5"/>
        <v>0</v>
      </c>
      <c r="G126" s="105">
        <f t="shared" si="4"/>
        <v>-1572500000</v>
      </c>
    </row>
    <row r="127" spans="1:7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85</v>
      </c>
      <c r="F127" s="105">
        <f t="shared" si="5"/>
        <v>1</v>
      </c>
      <c r="G127" s="105">
        <f t="shared" si="4"/>
        <v>252000000</v>
      </c>
    </row>
    <row r="128" spans="1:7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85</v>
      </c>
      <c r="F128" s="105">
        <f t="shared" si="5"/>
        <v>0</v>
      </c>
      <c r="G128" s="105">
        <f t="shared" si="4"/>
        <v>-255076500</v>
      </c>
    </row>
    <row r="129" spans="1:10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84</v>
      </c>
      <c r="F129" s="105">
        <f t="shared" si="5"/>
        <v>1</v>
      </c>
      <c r="G129" s="105">
        <f t="shared" si="4"/>
        <v>74700000</v>
      </c>
    </row>
    <row r="130" spans="1:10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84</v>
      </c>
      <c r="F130" s="105">
        <f t="shared" si="5"/>
        <v>0</v>
      </c>
      <c r="G130" s="105">
        <f t="shared" si="4"/>
        <v>-252075600</v>
      </c>
    </row>
    <row r="131" spans="1:10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83</v>
      </c>
      <c r="F131" s="105">
        <f t="shared" si="5"/>
        <v>0</v>
      </c>
      <c r="G131" s="105">
        <f t="shared" si="4"/>
        <v>-249074700</v>
      </c>
    </row>
    <row r="132" spans="1:10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81</v>
      </c>
      <c r="F132" s="105">
        <f t="shared" si="5"/>
        <v>0</v>
      </c>
      <c r="G132" s="105">
        <f t="shared" si="4"/>
        <v>-81040500</v>
      </c>
    </row>
    <row r="133" spans="1:10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81</v>
      </c>
      <c r="F133" s="105">
        <f t="shared" si="5"/>
        <v>1</v>
      </c>
      <c r="G133" s="105">
        <f t="shared" si="4"/>
        <v>8000000</v>
      </c>
    </row>
    <row r="134" spans="1:10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79</v>
      </c>
      <c r="F134" s="105">
        <f t="shared" si="5"/>
        <v>0</v>
      </c>
      <c r="G134" s="105">
        <f t="shared" si="4"/>
        <v>-15800000</v>
      </c>
    </row>
    <row r="135" spans="1:10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78</v>
      </c>
      <c r="F135" s="105">
        <f t="shared" si="5"/>
        <v>0</v>
      </c>
      <c r="G135" s="105">
        <f t="shared" si="4"/>
        <v>-171600000</v>
      </c>
    </row>
    <row r="136" spans="1:10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75</v>
      </c>
      <c r="F136" s="105">
        <f t="shared" si="5"/>
        <v>0</v>
      </c>
      <c r="G136" s="105">
        <f t="shared" si="4"/>
        <v>-67912500</v>
      </c>
    </row>
    <row r="137" spans="1:10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72</v>
      </c>
      <c r="F137" s="105">
        <f t="shared" si="5"/>
        <v>1</v>
      </c>
      <c r="G137" s="105">
        <f t="shared" si="4"/>
        <v>106500000</v>
      </c>
    </row>
    <row r="138" spans="1:10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71</v>
      </c>
      <c r="F138" s="105">
        <f t="shared" si="5"/>
        <v>0</v>
      </c>
      <c r="G138" s="105">
        <f t="shared" si="4"/>
        <v>-71035500</v>
      </c>
    </row>
    <row r="139" spans="1:10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71</v>
      </c>
      <c r="F139" s="105">
        <f t="shared" si="5"/>
        <v>0</v>
      </c>
      <c r="G139" s="105">
        <f t="shared" si="4"/>
        <v>-25915000</v>
      </c>
    </row>
    <row r="140" spans="1:10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69</v>
      </c>
      <c r="F140" s="105">
        <f t="shared" si="5"/>
        <v>1</v>
      </c>
      <c r="G140" s="105">
        <f t="shared" si="4"/>
        <v>1564000000</v>
      </c>
      <c r="J140" t="s">
        <v>25</v>
      </c>
    </row>
    <row r="141" spans="1:10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68</v>
      </c>
      <c r="F141" s="105">
        <f t="shared" si="5"/>
        <v>1</v>
      </c>
      <c r="G141" s="105">
        <f t="shared" si="4"/>
        <v>120600000</v>
      </c>
    </row>
    <row r="142" spans="1:10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66</v>
      </c>
      <c r="F142" s="105">
        <f t="shared" si="5"/>
        <v>1</v>
      </c>
      <c r="G142" s="105">
        <f t="shared" si="4"/>
        <v>13000000</v>
      </c>
    </row>
    <row r="143" spans="1:10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66</v>
      </c>
      <c r="F143" s="105">
        <f t="shared" si="5"/>
        <v>0</v>
      </c>
      <c r="G143" s="105">
        <f t="shared" si="4"/>
        <v>-211259400</v>
      </c>
    </row>
    <row r="144" spans="1:10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65</v>
      </c>
      <c r="F144" s="105">
        <f t="shared" si="5"/>
        <v>0</v>
      </c>
      <c r="G144" s="105">
        <f t="shared" si="4"/>
        <v>-196358500</v>
      </c>
    </row>
    <row r="145" spans="1:10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64</v>
      </c>
      <c r="F145" s="105">
        <f t="shared" si="5"/>
        <v>1</v>
      </c>
      <c r="G145" s="105">
        <f t="shared" si="4"/>
        <v>4569579</v>
      </c>
    </row>
    <row r="146" spans="1:10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61</v>
      </c>
      <c r="F146" s="105">
        <f t="shared" si="5"/>
        <v>0</v>
      </c>
      <c r="G146" s="105">
        <f t="shared" si="4"/>
        <v>-183054900</v>
      </c>
    </row>
    <row r="147" spans="1:10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60</v>
      </c>
      <c r="F147" s="105">
        <f t="shared" si="5"/>
        <v>0</v>
      </c>
      <c r="G147" s="105">
        <f t="shared" si="4"/>
        <v>-180084000</v>
      </c>
    </row>
    <row r="148" spans="1:10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60</v>
      </c>
      <c r="F148" s="105">
        <f t="shared" si="5"/>
        <v>0</v>
      </c>
      <c r="G148" s="105">
        <f t="shared" si="4"/>
        <v>-13014600</v>
      </c>
    </row>
    <row r="149" spans="1:10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59</v>
      </c>
      <c r="F149" s="105">
        <f t="shared" si="5"/>
        <v>0</v>
      </c>
      <c r="G149" s="105">
        <f t="shared" si="4"/>
        <v>-177053100</v>
      </c>
    </row>
    <row r="150" spans="1:10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58</v>
      </c>
      <c r="F150" s="105">
        <f t="shared" si="5"/>
        <v>1</v>
      </c>
      <c r="G150" s="105">
        <f t="shared" si="4"/>
        <v>336300000</v>
      </c>
      <c r="J150" t="s">
        <v>25</v>
      </c>
    </row>
    <row r="151" spans="1:10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45</v>
      </c>
      <c r="F151" s="105">
        <f t="shared" si="5"/>
        <v>1</v>
      </c>
      <c r="G151" s="105">
        <f t="shared" si="4"/>
        <v>748000000</v>
      </c>
    </row>
    <row r="152" spans="1:10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45</v>
      </c>
      <c r="F152" s="105">
        <f t="shared" si="5"/>
        <v>0</v>
      </c>
      <c r="G152" s="105">
        <f t="shared" si="4"/>
        <v>-45000</v>
      </c>
    </row>
    <row r="153" spans="1:10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44</v>
      </c>
      <c r="F153" s="105">
        <f t="shared" si="5"/>
        <v>1</v>
      </c>
      <c r="G153" s="105">
        <f t="shared" si="4"/>
        <v>129000000</v>
      </c>
    </row>
    <row r="154" spans="1:10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44</v>
      </c>
      <c r="F154" s="105">
        <f t="shared" si="5"/>
        <v>0</v>
      </c>
      <c r="G154" s="105">
        <f t="shared" si="4"/>
        <v>-792484000</v>
      </c>
    </row>
    <row r="155" spans="1:10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44</v>
      </c>
      <c r="F155" s="105">
        <f t="shared" si="5"/>
        <v>0</v>
      </c>
      <c r="G155" s="105">
        <f t="shared" si="4"/>
        <v>-686400000</v>
      </c>
    </row>
    <row r="156" spans="1:10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44</v>
      </c>
      <c r="F156" s="105">
        <f t="shared" si="5"/>
        <v>0</v>
      </c>
      <c r="G156" s="105">
        <f t="shared" si="4"/>
        <v>-61622000</v>
      </c>
    </row>
    <row r="157" spans="1:10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44</v>
      </c>
      <c r="F157" s="105">
        <f t="shared" si="5"/>
        <v>0</v>
      </c>
      <c r="G157" s="105">
        <f t="shared" si="4"/>
        <v>-220000</v>
      </c>
    </row>
    <row r="158" spans="1:10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39</v>
      </c>
      <c r="F158" s="105">
        <f t="shared" si="5"/>
        <v>1</v>
      </c>
      <c r="G158" s="105">
        <f t="shared" si="4"/>
        <v>114000000</v>
      </c>
    </row>
    <row r="159" spans="1:10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38</v>
      </c>
      <c r="F159" s="105">
        <f t="shared" si="5"/>
        <v>1</v>
      </c>
      <c r="G159" s="105">
        <f t="shared" si="4"/>
        <v>37000000</v>
      </c>
    </row>
    <row r="160" spans="1:10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37</v>
      </c>
      <c r="F160" s="105">
        <f t="shared" si="5"/>
        <v>0</v>
      </c>
      <c r="G160" s="105">
        <f t="shared" si="4"/>
        <v>-166500000</v>
      </c>
    </row>
    <row r="161" spans="1:7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37</v>
      </c>
      <c r="F161" s="105">
        <f t="shared" si="5"/>
        <v>1</v>
      </c>
      <c r="G161" s="105">
        <f t="shared" si="4"/>
        <v>108000000</v>
      </c>
    </row>
    <row r="162" spans="1:7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37</v>
      </c>
      <c r="F162" s="105">
        <f t="shared" si="5"/>
        <v>0</v>
      </c>
      <c r="G162" s="105">
        <f t="shared" si="4"/>
        <v>-111000000</v>
      </c>
    </row>
    <row r="163" spans="1:7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36</v>
      </c>
      <c r="F163" s="105">
        <f t="shared" si="5"/>
        <v>1</v>
      </c>
      <c r="G163" s="105">
        <f t="shared" si="4"/>
        <v>3260775</v>
      </c>
    </row>
    <row r="164" spans="1:7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30</v>
      </c>
      <c r="F164" s="105">
        <f t="shared" si="5"/>
        <v>1</v>
      </c>
      <c r="G164" s="105">
        <f t="shared" si="4"/>
        <v>33640000</v>
      </c>
    </row>
    <row r="165" spans="1:7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29</v>
      </c>
      <c r="F165" s="105">
        <f t="shared" si="5"/>
        <v>0</v>
      </c>
      <c r="G165" s="105">
        <f t="shared" si="4"/>
        <v>-15264150</v>
      </c>
    </row>
    <row r="166" spans="1:7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26</v>
      </c>
      <c r="F166" s="105">
        <f t="shared" si="5"/>
        <v>0</v>
      </c>
      <c r="G166" s="105">
        <f t="shared" si="4"/>
        <v>-5200000</v>
      </c>
    </row>
    <row r="167" spans="1:7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24</v>
      </c>
      <c r="F167" s="105">
        <f t="shared" si="5"/>
        <v>1</v>
      </c>
      <c r="G167" s="105">
        <f t="shared" si="4"/>
        <v>18055000</v>
      </c>
    </row>
    <row r="168" spans="1:7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24</v>
      </c>
      <c r="F168" s="105">
        <f t="shared" si="5"/>
        <v>0</v>
      </c>
      <c r="G168" s="105">
        <f t="shared" si="4"/>
        <v>-4800000</v>
      </c>
    </row>
    <row r="169" spans="1:7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23</v>
      </c>
      <c r="F169" s="105">
        <f t="shared" si="5"/>
        <v>0</v>
      </c>
      <c r="G169" s="105">
        <f t="shared" si="4"/>
        <v>-10350000</v>
      </c>
    </row>
    <row r="170" spans="1:7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23</v>
      </c>
      <c r="F170" s="105">
        <f t="shared" si="5"/>
        <v>1</v>
      </c>
      <c r="G170" s="105">
        <f t="shared" si="4"/>
        <v>66000000</v>
      </c>
    </row>
    <row r="171" spans="1:7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23</v>
      </c>
      <c r="F171" s="105">
        <f t="shared" si="5"/>
        <v>0</v>
      </c>
      <c r="G171" s="105">
        <f t="shared" si="4"/>
        <v>-805000</v>
      </c>
    </row>
    <row r="172" spans="1:7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22</v>
      </c>
      <c r="F172" s="105">
        <f t="shared" si="5"/>
        <v>1</v>
      </c>
      <c r="G172" s="105">
        <f t="shared" si="4"/>
        <v>52500000</v>
      </c>
    </row>
    <row r="173" spans="1:7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21</v>
      </c>
      <c r="F173" s="105">
        <f t="shared" si="5"/>
        <v>0</v>
      </c>
      <c r="G173" s="105">
        <f t="shared" si="4"/>
        <v>-2743440</v>
      </c>
    </row>
    <row r="174" spans="1:7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16</v>
      </c>
      <c r="F174" s="105">
        <f t="shared" si="5"/>
        <v>0</v>
      </c>
      <c r="G174" s="105">
        <f t="shared" si="4"/>
        <v>-76800000</v>
      </c>
    </row>
    <row r="175" spans="1:7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16</v>
      </c>
      <c r="F175" s="105">
        <f t="shared" si="5"/>
        <v>0</v>
      </c>
      <c r="G175" s="105">
        <f t="shared" si="4"/>
        <v>-5120000</v>
      </c>
    </row>
    <row r="176" spans="1:7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16</v>
      </c>
      <c r="F176" s="105">
        <f t="shared" si="5"/>
        <v>0</v>
      </c>
      <c r="G176" s="105">
        <f t="shared" si="4"/>
        <v>-7894992</v>
      </c>
    </row>
    <row r="177" spans="1:7">
      <c r="A177" s="105" t="s">
        <v>4006</v>
      </c>
      <c r="B177" s="38">
        <v>-80000</v>
      </c>
      <c r="C177" s="73" t="s">
        <v>761</v>
      </c>
      <c r="D177" s="105">
        <v>0</v>
      </c>
      <c r="E177" s="105">
        <f t="shared" si="8"/>
        <v>6</v>
      </c>
      <c r="F177" s="105">
        <f t="shared" si="5"/>
        <v>0</v>
      </c>
      <c r="G177" s="105">
        <f t="shared" si="4"/>
        <v>-480000</v>
      </c>
    </row>
    <row r="178" spans="1:7">
      <c r="A178" s="105" t="s">
        <v>4006</v>
      </c>
      <c r="B178" s="38">
        <v>-100000</v>
      </c>
      <c r="C178" s="73" t="s">
        <v>4007</v>
      </c>
      <c r="D178" s="105">
        <v>1</v>
      </c>
      <c r="E178" s="105">
        <f t="shared" si="8"/>
        <v>6</v>
      </c>
      <c r="F178" s="105">
        <f t="shared" si="5"/>
        <v>0</v>
      </c>
      <c r="G178" s="105">
        <f t="shared" si="4"/>
        <v>-600000</v>
      </c>
    </row>
    <row r="179" spans="1:7">
      <c r="A179" s="105" t="s">
        <v>4022</v>
      </c>
      <c r="B179" s="38">
        <v>14371</v>
      </c>
      <c r="C179" s="73" t="s">
        <v>669</v>
      </c>
      <c r="D179" s="105">
        <v>2</v>
      </c>
      <c r="E179" s="105">
        <f t="shared" si="8"/>
        <v>5</v>
      </c>
      <c r="F179" s="105">
        <f t="shared" si="5"/>
        <v>1</v>
      </c>
      <c r="G179" s="105">
        <f t="shared" si="4"/>
        <v>57484</v>
      </c>
    </row>
    <row r="180" spans="1:7">
      <c r="A180" s="105" t="s">
        <v>4026</v>
      </c>
      <c r="B180" s="38">
        <v>-39030</v>
      </c>
      <c r="C180" s="73" t="s">
        <v>4027</v>
      </c>
      <c r="D180" s="105">
        <v>2</v>
      </c>
      <c r="E180" s="105">
        <f t="shared" si="8"/>
        <v>3</v>
      </c>
      <c r="F180" s="105">
        <f t="shared" si="5"/>
        <v>0</v>
      </c>
      <c r="G180" s="105">
        <f t="shared" si="4"/>
        <v>-117090</v>
      </c>
    </row>
    <row r="181" spans="1:7">
      <c r="A181" s="105" t="s">
        <v>4032</v>
      </c>
      <c r="B181" s="38">
        <v>-32000</v>
      </c>
      <c r="C181" s="73" t="s">
        <v>4033</v>
      </c>
      <c r="D181" s="105">
        <v>1</v>
      </c>
      <c r="E181" s="105">
        <f t="shared" ref="E140:E195" si="9">D181+E182</f>
        <v>1</v>
      </c>
      <c r="F181" s="105">
        <f t="shared" si="5"/>
        <v>0</v>
      </c>
      <c r="G181" s="105">
        <f t="shared" si="4"/>
        <v>-32000</v>
      </c>
    </row>
    <row r="182" spans="1:7">
      <c r="A182" s="105"/>
      <c r="B182" s="38"/>
      <c r="C182" s="73"/>
      <c r="D182" s="105"/>
      <c r="E182" s="105">
        <f t="shared" si="9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9"/>
        <v>0</v>
      </c>
      <c r="F183" s="105">
        <f t="shared" si="5"/>
        <v>0</v>
      </c>
      <c r="G183" s="105">
        <f t="shared" si="4"/>
        <v>0</v>
      </c>
    </row>
    <row r="184" spans="1:7">
      <c r="A184" s="105" t="s">
        <v>25</v>
      </c>
      <c r="B184" s="38"/>
      <c r="C184" s="73"/>
      <c r="D184" s="105"/>
      <c r="E184" s="105">
        <f t="shared" si="9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9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9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9"/>
        <v>0</v>
      </c>
      <c r="F187" s="105">
        <f t="shared" si="5"/>
        <v>0</v>
      </c>
      <c r="G187" s="105">
        <f t="shared" si="4"/>
        <v>0</v>
      </c>
    </row>
    <row r="188" spans="1:7">
      <c r="A188" s="105"/>
      <c r="B188" s="38"/>
      <c r="C188" s="73"/>
      <c r="D188" s="105"/>
      <c r="E188" s="105">
        <f t="shared" si="9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9"/>
        <v>0</v>
      </c>
      <c r="F189" s="105">
        <f t="shared" si="5"/>
        <v>0</v>
      </c>
      <c r="G189" s="105">
        <f t="shared" si="4"/>
        <v>0</v>
      </c>
    </row>
    <row r="190" spans="1:7">
      <c r="A190" s="105" t="s">
        <v>25</v>
      </c>
      <c r="B190" s="38"/>
      <c r="C190" s="73"/>
      <c r="D190" s="105"/>
      <c r="E190" s="105">
        <f t="shared" si="9"/>
        <v>0</v>
      </c>
      <c r="F190" s="105">
        <f t="shared" si="5"/>
        <v>0</v>
      </c>
      <c r="G190" s="105">
        <f t="shared" si="4"/>
        <v>0</v>
      </c>
    </row>
    <row r="191" spans="1:7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>
      <c r="A196" s="11"/>
      <c r="B196" s="29">
        <f>SUM(B2:B195)</f>
        <v>59790690</v>
      </c>
      <c r="C196" s="11"/>
      <c r="D196" s="11"/>
      <c r="E196" s="11"/>
      <c r="F196" s="11"/>
      <c r="G196" s="29">
        <f>SUM(G105:G195)</f>
        <v>1722343897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12480752.876811594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855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D4" zoomScaleNormal="100" workbookViewId="0">
      <selection activeCell="L20" sqref="L20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16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59790690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-7773806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4023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92887568</v>
      </c>
      <c r="G19" s="29">
        <f t="shared" si="0"/>
        <v>12353520.582230002</v>
      </c>
      <c r="H19" s="11"/>
      <c r="K19" s="2" t="s">
        <v>85</v>
      </c>
      <c r="L19" s="43">
        <f>-مرداد97!D64</f>
        <v>-2607054</v>
      </c>
      <c r="M19" s="2" t="s">
        <v>4020</v>
      </c>
      <c r="N19" s="3">
        <v>5276658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125000</v>
      </c>
      <c r="M20" s="2" t="s">
        <v>757</v>
      </c>
      <c r="N20" s="3">
        <v>3000000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2607054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1150000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4025</v>
      </c>
      <c r="N24" s="3">
        <v>3350000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1773</v>
      </c>
      <c r="O27" s="105" t="s">
        <v>941</v>
      </c>
      <c r="P27" s="105" t="s">
        <v>3979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124320</v>
      </c>
      <c r="M28" s="118" t="s">
        <v>3986</v>
      </c>
      <c r="N28" s="119">
        <f>O28*P28</f>
        <v>48200040</v>
      </c>
      <c r="O28" s="105">
        <v>19127</v>
      </c>
      <c r="P28" s="105">
        <v>2520</v>
      </c>
      <c r="Q28" s="38">
        <v>7374117</v>
      </c>
      <c r="R28" s="118" t="s">
        <v>3961</v>
      </c>
      <c r="S28" s="118">
        <v>12</v>
      </c>
      <c r="T28" s="118" t="s">
        <v>4018</v>
      </c>
      <c r="U28" s="119">
        <f t="shared" ref="U28:U30" si="4">Q28*0.02*S28/31</f>
        <v>57089.938064516129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12100</v>
      </c>
      <c r="M29" s="32" t="s">
        <v>3987</v>
      </c>
      <c r="N29" s="119">
        <f>O29*P29</f>
        <v>74648</v>
      </c>
      <c r="O29" s="105">
        <v>301</v>
      </c>
      <c r="P29" s="105">
        <v>248</v>
      </c>
      <c r="Q29" s="38">
        <v>71630</v>
      </c>
      <c r="R29" s="118" t="s">
        <v>3981</v>
      </c>
      <c r="S29" s="118">
        <f>S28-5</f>
        <v>7</v>
      </c>
      <c r="T29" s="118" t="s">
        <v>3993</v>
      </c>
      <c r="U29" s="119">
        <f t="shared" si="4"/>
        <v>323.49032258064517</v>
      </c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3971</v>
      </c>
      <c r="L30" s="123">
        <v>0</v>
      </c>
      <c r="M30" s="105"/>
      <c r="N30" s="105"/>
      <c r="Q30" s="38">
        <v>17804833</v>
      </c>
      <c r="R30" s="118" t="s">
        <v>3997</v>
      </c>
      <c r="S30" s="118">
        <f>S29-2</f>
        <v>5</v>
      </c>
      <c r="T30" s="118" t="s">
        <v>4019</v>
      </c>
      <c r="U30" s="119">
        <f t="shared" si="4"/>
        <v>57434.945161290329</v>
      </c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4001</v>
      </c>
      <c r="L31" s="123">
        <v>-1600000</v>
      </c>
      <c r="M31" s="56"/>
      <c r="N31" s="119" t="s">
        <v>25</v>
      </c>
      <c r="O31" s="182"/>
      <c r="P31" s="69"/>
      <c r="Q31" s="38">
        <v>23955916</v>
      </c>
      <c r="R31" s="118" t="s">
        <v>4015</v>
      </c>
      <c r="S31" s="118">
        <f>S30-5</f>
        <v>0</v>
      </c>
      <c r="T31" s="118" t="s">
        <v>4016</v>
      </c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05"/>
      <c r="N32" s="105"/>
      <c r="Q32" s="118"/>
      <c r="R32" s="118"/>
      <c r="S32" s="118"/>
      <c r="T32" s="118"/>
    </row>
    <row r="33" spans="1:21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05"/>
      <c r="P33" s="105"/>
      <c r="Q33" s="119">
        <f>SUM(N28:N33)-SUM(Q28:Q31)</f>
        <v>-931808</v>
      </c>
      <c r="R33" s="118"/>
      <c r="S33" s="118"/>
      <c r="T33" s="118"/>
      <c r="U33" t="s">
        <v>25</v>
      </c>
    </row>
    <row r="34" spans="1:2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05"/>
      <c r="N34" s="105"/>
      <c r="O34" s="105"/>
      <c r="P34" s="105"/>
    </row>
    <row r="35" spans="1:21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5">E34*$L$2+C35-D35</f>
        <v>158887206.80890375</v>
      </c>
      <c r="F35" s="3"/>
      <c r="G35" s="11"/>
      <c r="H35" s="11"/>
      <c r="K35" s="118"/>
      <c r="L35" s="123"/>
      <c r="M35" s="118" t="s">
        <v>4013</v>
      </c>
      <c r="N35" s="119">
        <v>4693475</v>
      </c>
      <c r="O35" s="105"/>
      <c r="P35" s="105"/>
    </row>
    <row r="36" spans="1:21">
      <c r="A36" s="61">
        <v>98</v>
      </c>
      <c r="B36" s="11">
        <v>34</v>
      </c>
      <c r="C36" s="3">
        <f t="shared" ref="C36:C62" si="6">C35*$K$2</f>
        <v>4498230.5822681794</v>
      </c>
      <c r="D36" s="3">
        <f t="shared" ref="D36:D62" si="7">D35*$K$2</f>
        <v>3654042.1031301799</v>
      </c>
      <c r="E36" s="3">
        <f t="shared" si="5"/>
        <v>162909139.42421982</v>
      </c>
      <c r="F36" s="3"/>
      <c r="G36" s="11"/>
      <c r="H36" s="11"/>
      <c r="K36" s="118" t="s">
        <v>25</v>
      </c>
      <c r="L36" s="123"/>
      <c r="M36" s="178" t="s">
        <v>4012</v>
      </c>
      <c r="N36" s="179">
        <v>3865000</v>
      </c>
    </row>
    <row r="37" spans="1:21">
      <c r="A37" s="61">
        <v>98</v>
      </c>
      <c r="B37" s="11">
        <v>35</v>
      </c>
      <c r="C37" s="3">
        <f t="shared" si="6"/>
        <v>4543212.888090861</v>
      </c>
      <c r="D37" s="3">
        <f t="shared" si="7"/>
        <v>3690582.5241614818</v>
      </c>
      <c r="E37" s="3">
        <f t="shared" si="5"/>
        <v>167019952.57663357</v>
      </c>
      <c r="F37" s="3"/>
      <c r="G37" s="11"/>
      <c r="H37" s="11"/>
      <c r="K37" s="2" t="s">
        <v>598</v>
      </c>
      <c r="L37" s="3">
        <f>SUM(L16:L34)</f>
        <v>92887568</v>
      </c>
      <c r="M37" s="2"/>
      <c r="N37" s="3">
        <f>SUM(N16:N35)</f>
        <v>228070532</v>
      </c>
      <c r="T37" t="s">
        <v>25</v>
      </c>
    </row>
    <row r="38" spans="1:21">
      <c r="A38" s="61">
        <v>98</v>
      </c>
      <c r="B38" s="11">
        <v>36</v>
      </c>
      <c r="C38" s="3">
        <f t="shared" si="6"/>
        <v>4588645.0169717697</v>
      </c>
      <c r="D38" s="3">
        <f t="shared" si="7"/>
        <v>3727488.3494030968</v>
      </c>
      <c r="E38" s="46">
        <f t="shared" si="5"/>
        <v>171221508.29573494</v>
      </c>
      <c r="F38" s="3"/>
      <c r="G38" s="11"/>
      <c r="H38" s="11"/>
      <c r="K38" s="2" t="s">
        <v>599</v>
      </c>
      <c r="L38" s="3">
        <f>L16+L17+L20+L29+L28</f>
        <v>294622</v>
      </c>
      <c r="M38" s="2"/>
      <c r="N38" s="3">
        <f>N16+N17+N22</f>
        <v>53166884</v>
      </c>
      <c r="O38" t="s">
        <v>25</v>
      </c>
      <c r="Q38" t="s">
        <v>25</v>
      </c>
    </row>
    <row r="39" spans="1:21">
      <c r="A39" s="62">
        <v>99</v>
      </c>
      <c r="B39" s="11">
        <v>37</v>
      </c>
      <c r="C39" s="44">
        <f t="shared" si="6"/>
        <v>4634531.4671414876</v>
      </c>
      <c r="D39" s="3">
        <f t="shared" si="7"/>
        <v>3764763.232897128</v>
      </c>
      <c r="E39" s="3">
        <f t="shared" si="5"/>
        <v>175515706.695894</v>
      </c>
      <c r="F39" s="3"/>
      <c r="G39" s="11"/>
      <c r="H39" s="11"/>
      <c r="K39" s="56" t="s">
        <v>716</v>
      </c>
      <c r="L39" s="1">
        <f>L37+N7</f>
        <v>149887568</v>
      </c>
      <c r="M39" s="3"/>
      <c r="N39" s="2"/>
      <c r="Q39" t="s">
        <v>25</v>
      </c>
    </row>
    <row r="40" spans="1:21">
      <c r="A40" s="62">
        <v>99</v>
      </c>
      <c r="B40" s="11">
        <v>38</v>
      </c>
      <c r="C40" s="44">
        <f t="shared" si="6"/>
        <v>4680876.7818129025</v>
      </c>
      <c r="D40" s="3">
        <f t="shared" si="7"/>
        <v>3802410.8652260993</v>
      </c>
      <c r="E40" s="3">
        <f t="shared" si="5"/>
        <v>179904486.74639872</v>
      </c>
      <c r="F40" s="3"/>
      <c r="G40" s="11"/>
      <c r="H40" s="11"/>
    </row>
    <row r="41" spans="1:21">
      <c r="A41" s="62">
        <v>99</v>
      </c>
      <c r="B41" s="11">
        <v>39</v>
      </c>
      <c r="C41" s="44">
        <f t="shared" si="6"/>
        <v>4727685.5496310312</v>
      </c>
      <c r="D41" s="3">
        <f t="shared" si="7"/>
        <v>3840434.9738783604</v>
      </c>
      <c r="E41" s="3">
        <f t="shared" si="5"/>
        <v>184389827.05707937</v>
      </c>
      <c r="F41" s="3"/>
      <c r="G41" s="11"/>
      <c r="H41" s="11"/>
      <c r="M41" s="25"/>
      <c r="O41" s="22"/>
    </row>
    <row r="42" spans="1:21">
      <c r="A42" s="62">
        <v>99</v>
      </c>
      <c r="B42" s="11">
        <v>40</v>
      </c>
      <c r="C42" s="49">
        <f t="shared" si="6"/>
        <v>4774962.4051273419</v>
      </c>
      <c r="D42" s="3">
        <f t="shared" si="7"/>
        <v>3878839.323617144</v>
      </c>
      <c r="E42" s="3">
        <f t="shared" si="5"/>
        <v>188973746.67973119</v>
      </c>
      <c r="F42" s="3"/>
      <c r="G42" s="11"/>
      <c r="H42" s="11"/>
      <c r="M42" s="25"/>
      <c r="Q42" s="118" t="s">
        <v>1151</v>
      </c>
      <c r="R42" s="118"/>
    </row>
    <row r="43" spans="1:21">
      <c r="A43" s="62">
        <v>99</v>
      </c>
      <c r="B43" s="11">
        <v>41</v>
      </c>
      <c r="C43" s="49">
        <f t="shared" si="6"/>
        <v>4822712.0291786157</v>
      </c>
      <c r="D43" s="3">
        <f t="shared" si="7"/>
        <v>3917627.7168533155</v>
      </c>
      <c r="E43" s="3">
        <f t="shared" si="5"/>
        <v>193658305.9256511</v>
      </c>
      <c r="F43" s="3"/>
      <c r="G43" s="11"/>
      <c r="H43" s="11"/>
      <c r="M43" s="26" t="s">
        <v>25</v>
      </c>
      <c r="Q43" s="118" t="s">
        <v>267</v>
      </c>
      <c r="R43" s="118" t="s">
        <v>1166</v>
      </c>
    </row>
    <row r="44" spans="1:21">
      <c r="A44" s="62">
        <v>99</v>
      </c>
      <c r="B44" s="11">
        <v>42</v>
      </c>
      <c r="C44" s="49">
        <f t="shared" si="6"/>
        <v>4870939.1494704019</v>
      </c>
      <c r="D44" s="3">
        <f t="shared" si="7"/>
        <v>3956803.9940218488</v>
      </c>
      <c r="E44" s="3">
        <f t="shared" si="5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4">
        <v>125000</v>
      </c>
      <c r="R44" s="118" t="s">
        <v>1167</v>
      </c>
    </row>
    <row r="45" spans="1:21">
      <c r="A45" s="62">
        <v>99</v>
      </c>
      <c r="B45" s="11">
        <v>43</v>
      </c>
      <c r="C45" s="50">
        <f t="shared" si="6"/>
        <v>4919648.5409651063</v>
      </c>
      <c r="D45" s="3">
        <f t="shared" si="7"/>
        <v>3996372.0339620672</v>
      </c>
      <c r="E45" s="3">
        <f t="shared" si="5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4">
        <v>-6000000</v>
      </c>
      <c r="R45" s="118" t="s">
        <v>1168</v>
      </c>
    </row>
    <row r="46" spans="1:21">
      <c r="A46" s="62">
        <v>99</v>
      </c>
      <c r="B46" s="11">
        <v>44</v>
      </c>
      <c r="C46" s="50">
        <f t="shared" si="6"/>
        <v>4968845.0263747573</v>
      </c>
      <c r="D46" s="3">
        <f t="shared" si="7"/>
        <v>4036335.7543016877</v>
      </c>
      <c r="E46" s="3">
        <f t="shared" si="5"/>
        <v>208337061.03969315</v>
      </c>
      <c r="F46" s="3"/>
      <c r="G46" s="11"/>
      <c r="H46" s="11"/>
      <c r="K46" s="1" t="s">
        <v>321</v>
      </c>
      <c r="L46" s="1">
        <v>100000</v>
      </c>
      <c r="M46" t="s">
        <v>25</v>
      </c>
      <c r="Q46" s="14">
        <f>مرداد97!C24</f>
        <v>7835443</v>
      </c>
      <c r="R46" s="118" t="s">
        <v>1169</v>
      </c>
    </row>
    <row r="47" spans="1:21">
      <c r="A47" s="62">
        <v>99</v>
      </c>
      <c r="B47" s="11">
        <v>45</v>
      </c>
      <c r="C47" s="50">
        <f t="shared" si="6"/>
        <v>5018533.4766385052</v>
      </c>
      <c r="D47" s="3">
        <f t="shared" si="7"/>
        <v>4076699.1118447045</v>
      </c>
      <c r="E47" s="3">
        <f t="shared" si="5"/>
        <v>213445636.6252808</v>
      </c>
      <c r="F47" s="3"/>
      <c r="G47" s="11"/>
      <c r="H47" s="11"/>
      <c r="K47" s="1" t="s">
        <v>306</v>
      </c>
      <c r="L47" s="1">
        <v>80000</v>
      </c>
      <c r="Q47" s="14">
        <v>57600000</v>
      </c>
      <c r="R47" s="56" t="s">
        <v>3763</v>
      </c>
    </row>
    <row r="48" spans="1:21">
      <c r="A48" s="64">
        <v>99</v>
      </c>
      <c r="B48" s="64">
        <v>46</v>
      </c>
      <c r="C48" s="65">
        <f t="shared" si="6"/>
        <v>5068718.8114048904</v>
      </c>
      <c r="D48" s="65">
        <f t="shared" si="7"/>
        <v>4117466.1029631514</v>
      </c>
      <c r="E48" s="65">
        <f t="shared" si="5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P48" t="s">
        <v>4004</v>
      </c>
      <c r="Q48" s="14">
        <v>2000000</v>
      </c>
      <c r="R48" s="56" t="s">
        <v>1170</v>
      </c>
    </row>
    <row r="49" spans="1:18">
      <c r="A49" s="62">
        <v>99</v>
      </c>
      <c r="B49" s="11">
        <v>47</v>
      </c>
      <c r="C49" s="3">
        <f t="shared" si="6"/>
        <v>5119405.9995189393</v>
      </c>
      <c r="D49" s="3">
        <f t="shared" si="7"/>
        <v>4158640.7639927831</v>
      </c>
      <c r="E49" s="3">
        <f t="shared" si="5"/>
        <v>223999883.34307885</v>
      </c>
      <c r="F49" s="3"/>
      <c r="G49" s="11"/>
      <c r="H49" s="11"/>
      <c r="K49" s="31" t="s">
        <v>308</v>
      </c>
      <c r="L49" s="1">
        <v>300000</v>
      </c>
      <c r="Q49" s="123"/>
      <c r="R49" s="56"/>
    </row>
    <row r="50" spans="1:18">
      <c r="A50" s="62">
        <v>99</v>
      </c>
      <c r="B50" s="11">
        <v>48</v>
      </c>
      <c r="C50" s="51">
        <f t="shared" si="6"/>
        <v>5170600.0595141286</v>
      </c>
      <c r="D50" s="51">
        <f t="shared" si="7"/>
        <v>4200227.1716327108</v>
      </c>
      <c r="E50" s="52">
        <f t="shared" si="5"/>
        <v>229450253.89782187</v>
      </c>
      <c r="F50" s="51"/>
      <c r="G50" s="11"/>
      <c r="H50" s="11"/>
      <c r="K50" s="31" t="s">
        <v>309</v>
      </c>
      <c r="L50" s="1">
        <v>100000</v>
      </c>
      <c r="P50" t="s">
        <v>4004</v>
      </c>
      <c r="Q50" s="123">
        <v>2000000</v>
      </c>
      <c r="R50" s="56" t="s">
        <v>1171</v>
      </c>
    </row>
    <row r="51" spans="1:18">
      <c r="A51" s="63">
        <v>1400</v>
      </c>
      <c r="B51" s="11">
        <v>49</v>
      </c>
      <c r="C51" s="44">
        <f t="shared" si="6"/>
        <v>5222306.0601092698</v>
      </c>
      <c r="D51" s="3">
        <f t="shared" si="7"/>
        <v>4242229.4433490383</v>
      </c>
      <c r="E51" s="3">
        <f t="shared" si="5"/>
        <v>235019335.59253854</v>
      </c>
      <c r="F51" s="3"/>
      <c r="G51" s="11"/>
      <c r="H51" s="11"/>
      <c r="K51" s="31" t="s">
        <v>310</v>
      </c>
      <c r="L51" s="1">
        <v>200000</v>
      </c>
      <c r="Q51" s="123">
        <v>4000000</v>
      </c>
      <c r="R51" s="56" t="s">
        <v>4005</v>
      </c>
    </row>
    <row r="52" spans="1:18">
      <c r="A52" s="63">
        <v>1400</v>
      </c>
      <c r="B52" s="11">
        <v>50</v>
      </c>
      <c r="C52" s="44">
        <f t="shared" si="6"/>
        <v>5274529.1207103627</v>
      </c>
      <c r="D52" s="3">
        <f t="shared" si="7"/>
        <v>4284651.7377825286</v>
      </c>
      <c r="E52" s="3">
        <f t="shared" si="5"/>
        <v>240709599.68731713</v>
      </c>
      <c r="F52" s="3"/>
      <c r="G52" s="11"/>
      <c r="H52" s="11"/>
      <c r="K52" s="18" t="s">
        <v>311</v>
      </c>
      <c r="L52" s="18">
        <v>300000</v>
      </c>
      <c r="Q52" s="14">
        <v>2500000</v>
      </c>
      <c r="R52" s="56" t="s">
        <v>1162</v>
      </c>
    </row>
    <row r="53" spans="1:18">
      <c r="A53" s="63">
        <v>1400</v>
      </c>
      <c r="B53" s="11">
        <v>51</v>
      </c>
      <c r="C53" s="44">
        <f t="shared" si="6"/>
        <v>5327274.4119174667</v>
      </c>
      <c r="D53" s="3">
        <f t="shared" si="7"/>
        <v>4327498.2551603541</v>
      </c>
      <c r="E53" s="3">
        <f t="shared" si="5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3000000</v>
      </c>
      <c r="R53" s="56" t="s">
        <v>3953</v>
      </c>
    </row>
    <row r="54" spans="1:18">
      <c r="A54" s="63">
        <v>1400</v>
      </c>
      <c r="B54" s="11">
        <v>52</v>
      </c>
      <c r="C54" s="49">
        <f t="shared" si="6"/>
        <v>5380547.1560366414</v>
      </c>
      <c r="D54" s="3">
        <f t="shared" si="7"/>
        <v>4370773.2377119577</v>
      </c>
      <c r="E54" s="3">
        <f t="shared" si="5"/>
        <v>252463813.11290169</v>
      </c>
      <c r="F54" s="3"/>
      <c r="G54" s="11"/>
      <c r="H54" s="11"/>
      <c r="K54" s="32" t="s">
        <v>313</v>
      </c>
      <c r="L54" s="1">
        <v>20000</v>
      </c>
      <c r="Q54" s="14"/>
      <c r="R54" s="56"/>
    </row>
    <row r="55" spans="1:18">
      <c r="A55" s="63">
        <v>1400</v>
      </c>
      <c r="B55" s="11">
        <v>53</v>
      </c>
      <c r="C55" s="49">
        <f t="shared" si="6"/>
        <v>5434352.6275970079</v>
      </c>
      <c r="D55" s="3">
        <f t="shared" si="7"/>
        <v>4414480.970089077</v>
      </c>
      <c r="E55" s="3">
        <f t="shared" si="5"/>
        <v>258532961.03266767</v>
      </c>
      <c r="F55" s="3"/>
      <c r="G55" s="11"/>
      <c r="H55" s="11"/>
      <c r="K55" s="32" t="s">
        <v>315</v>
      </c>
      <c r="L55" s="1">
        <v>50000</v>
      </c>
      <c r="Q55" s="123"/>
      <c r="R55" s="56"/>
    </row>
    <row r="56" spans="1:18">
      <c r="A56" s="63">
        <v>1400</v>
      </c>
      <c r="B56" s="11">
        <v>54</v>
      </c>
      <c r="C56" s="49">
        <f t="shared" si="6"/>
        <v>5488696.1538729779</v>
      </c>
      <c r="D56" s="3">
        <f t="shared" si="7"/>
        <v>4458625.7797899675</v>
      </c>
      <c r="E56" s="3">
        <f t="shared" si="5"/>
        <v>264733690.62740406</v>
      </c>
      <c r="F56" s="3"/>
      <c r="G56" s="11"/>
      <c r="H56" s="11"/>
      <c r="K56" s="32" t="s">
        <v>316</v>
      </c>
      <c r="L56" s="1">
        <v>90000</v>
      </c>
      <c r="Q56" s="123"/>
      <c r="R56" s="56"/>
    </row>
    <row r="57" spans="1:18">
      <c r="A57" s="63">
        <v>1400</v>
      </c>
      <c r="B57" s="11">
        <v>55</v>
      </c>
      <c r="C57" s="50">
        <f t="shared" si="6"/>
        <v>5543583.1154117081</v>
      </c>
      <c r="D57" s="3">
        <f t="shared" si="7"/>
        <v>4503212.0375878671</v>
      </c>
      <c r="E57" s="3">
        <f t="shared" si="5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18">
      <c r="A58" s="63">
        <v>1400</v>
      </c>
      <c r="B58" s="11">
        <v>56</v>
      </c>
      <c r="C58" s="50">
        <f t="shared" si="6"/>
        <v>5599018.9465658255</v>
      </c>
      <c r="D58" s="3">
        <f t="shared" si="7"/>
        <v>4548244.1579637462</v>
      </c>
      <c r="E58" s="3">
        <f t="shared" si="5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18">
      <c r="A59" s="63">
        <v>1400</v>
      </c>
      <c r="B59" s="11">
        <v>57</v>
      </c>
      <c r="C59" s="50">
        <f t="shared" si="6"/>
        <v>5655009.1360314842</v>
      </c>
      <c r="D59" s="3">
        <f t="shared" si="7"/>
        <v>4593726.5995433833</v>
      </c>
      <c r="E59" s="3">
        <f t="shared" si="5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18">
      <c r="A60" s="63">
        <v>1400</v>
      </c>
      <c r="B60" s="11">
        <v>58</v>
      </c>
      <c r="C60" s="3">
        <f t="shared" si="6"/>
        <v>5711559.227391799</v>
      </c>
      <c r="D60" s="3">
        <f t="shared" si="7"/>
        <v>4639663.8655388169</v>
      </c>
      <c r="E60" s="3">
        <f t="shared" si="5"/>
        <v>290907940.32048041</v>
      </c>
      <c r="F60" s="3"/>
      <c r="G60" s="11"/>
      <c r="H60" s="11"/>
      <c r="K60" s="32" t="s">
        <v>319</v>
      </c>
      <c r="L60" s="1">
        <v>20000</v>
      </c>
      <c r="Q60" s="119">
        <f>SUM(Q44:Q58)</f>
        <v>73060443</v>
      </c>
      <c r="R60" s="56" t="s">
        <v>1173</v>
      </c>
    </row>
    <row r="61" spans="1:18">
      <c r="A61" s="63">
        <v>1400</v>
      </c>
      <c r="B61" s="11">
        <v>59</v>
      </c>
      <c r="C61" s="3">
        <f t="shared" si="6"/>
        <v>5768674.819665717</v>
      </c>
      <c r="D61" s="3">
        <f t="shared" si="7"/>
        <v>4686060.5041942047</v>
      </c>
      <c r="E61" s="3">
        <f t="shared" si="5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18">
      <c r="A62" s="63">
        <v>1400</v>
      </c>
      <c r="B62" s="11">
        <v>60</v>
      </c>
      <c r="C62" s="3">
        <f t="shared" si="6"/>
        <v>5826361.5678623738</v>
      </c>
      <c r="D62" s="3">
        <f t="shared" si="7"/>
        <v>4732921.1092361463</v>
      </c>
      <c r="E62" s="46">
        <f t="shared" si="5"/>
        <v>304858328.16983503</v>
      </c>
      <c r="F62" s="3"/>
      <c r="G62" s="11"/>
      <c r="H62" s="11"/>
      <c r="K62" s="32" t="s">
        <v>322</v>
      </c>
      <c r="L62" s="1">
        <v>150000</v>
      </c>
      <c r="Q62" s="123"/>
      <c r="R62" s="56"/>
    </row>
    <row r="63" spans="1:18">
      <c r="E63" s="26"/>
      <c r="K63" s="32" t="s">
        <v>324</v>
      </c>
      <c r="L63" s="1">
        <v>75000</v>
      </c>
    </row>
    <row r="64" spans="1:18">
      <c r="E64" s="26"/>
      <c r="K64" s="32" t="s">
        <v>314</v>
      </c>
      <c r="L64" s="1">
        <v>140000</v>
      </c>
    </row>
    <row r="65" spans="1:28">
      <c r="K65" s="2" t="s">
        <v>478</v>
      </c>
      <c r="L65" s="3">
        <v>1666666</v>
      </c>
    </row>
    <row r="66" spans="1:28">
      <c r="K66" s="2"/>
      <c r="L66" s="3"/>
      <c r="S66" s="121"/>
      <c r="T66" s="121"/>
    </row>
    <row r="67" spans="1:28">
      <c r="A67" t="s">
        <v>25</v>
      </c>
      <c r="K67" s="2"/>
      <c r="L67" s="3"/>
      <c r="S67" s="121"/>
      <c r="T67" s="121"/>
    </row>
    <row r="68" spans="1:28">
      <c r="K68" s="2" t="s">
        <v>6</v>
      </c>
      <c r="L68" s="3">
        <f>SUM(L45:L66)</f>
        <v>3966666</v>
      </c>
      <c r="Q68" s="121"/>
      <c r="R68" s="121"/>
      <c r="S68" s="121"/>
      <c r="T68" s="121"/>
    </row>
    <row r="69" spans="1:28">
      <c r="K69" s="2" t="s">
        <v>328</v>
      </c>
      <c r="L69" s="3">
        <f>L68/30</f>
        <v>132222.20000000001</v>
      </c>
      <c r="Q69" s="121"/>
      <c r="R69" s="121"/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Q70" s="121"/>
      <c r="R70" s="134"/>
      <c r="V70" s="180"/>
      <c r="W70" s="134"/>
      <c r="X70" s="121"/>
      <c r="Y70" s="121"/>
      <c r="Z70" s="121"/>
      <c r="AA70" s="134"/>
      <c r="AB70" s="121"/>
    </row>
    <row r="71" spans="1:28">
      <c r="O71" s="121"/>
      <c r="P71" s="134"/>
      <c r="Q71" s="121"/>
      <c r="R71" s="121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V73" s="121"/>
      <c r="W73" s="134"/>
      <c r="X73" s="121"/>
      <c r="Y73" s="121"/>
      <c r="Z73" s="121"/>
      <c r="AA73" s="134"/>
      <c r="AB73" s="121"/>
    </row>
    <row r="74" spans="1:28">
      <c r="V74" s="121"/>
      <c r="W74" s="134"/>
      <c r="X74" s="121"/>
      <c r="Y74" s="121"/>
      <c r="Z74" s="121"/>
      <c r="AA74" s="134"/>
      <c r="AB74" s="121"/>
    </row>
    <row r="75" spans="1:28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786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787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788</v>
      </c>
    </row>
    <row r="82" spans="11:12">
      <c r="K82" s="47">
        <v>75000</v>
      </c>
      <c r="L82" s="48" t="s">
        <v>789</v>
      </c>
    </row>
    <row r="83" spans="11:12">
      <c r="K83" s="47">
        <v>450000</v>
      </c>
      <c r="L83" s="48" t="s">
        <v>791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794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8" spans="8:8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3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3965</v>
      </c>
      <c r="B22" s="119">
        <v>-85000</v>
      </c>
      <c r="C22" s="105" t="s">
        <v>3977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3943</v>
      </c>
      <c r="B23" s="119">
        <v>-180000</v>
      </c>
      <c r="C23" s="105" t="s">
        <v>3977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3943</v>
      </c>
      <c r="B24" s="119">
        <v>-69000</v>
      </c>
      <c r="C24" s="105" t="s">
        <v>3977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3961</v>
      </c>
      <c r="B25" s="119">
        <v>-8600</v>
      </c>
      <c r="C25" s="105" t="s">
        <v>3977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3961</v>
      </c>
      <c r="B26" s="119">
        <v>-40000</v>
      </c>
      <c r="C26" s="105" t="s">
        <v>3977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3961</v>
      </c>
      <c r="B27" s="119">
        <v>-92500</v>
      </c>
      <c r="C27" s="105" t="s">
        <v>3977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3961</v>
      </c>
      <c r="B28" s="119">
        <v>-47000</v>
      </c>
      <c r="C28" s="105" t="s">
        <v>3977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3966</v>
      </c>
      <c r="B29" s="119">
        <v>-77500</v>
      </c>
      <c r="C29" s="105" t="s">
        <v>3977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3966</v>
      </c>
      <c r="B30" s="119">
        <v>-57000</v>
      </c>
      <c r="C30" s="105" t="s">
        <v>3977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3966</v>
      </c>
      <c r="B31" s="119">
        <v>-45000</v>
      </c>
      <c r="C31" s="105" t="s">
        <v>3977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3966</v>
      </c>
      <c r="B32" s="119">
        <v>-30000</v>
      </c>
      <c r="C32" s="105" t="s">
        <v>3977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3976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2018-07-26T10:47:12Z</dcterms:modified>
</cp:coreProperties>
</file>