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0" activeTab="32"/>
  </bookViews>
  <sheets>
    <sheet name="فروردین 97" sheetId="34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لیست خرید و فروش" sheetId="32" r:id="rId32"/>
    <sheet name="اوراق بدون ریسک" sheetId="33" r:id="rId33"/>
    <sheet name="نکات" sheetId="35" r:id="rId34"/>
  </sheets>
  <calcPr calcId="145621"/>
</workbook>
</file>

<file path=xl/calcChain.xml><?xml version="1.0" encoding="utf-8"?>
<calcChain xmlns="http://schemas.openxmlformats.org/spreadsheetml/2006/main">
  <c r="N25" i="18" l="1"/>
  <c r="AA16" i="32"/>
  <c r="AA15" i="32"/>
  <c r="Z15" i="32"/>
  <c r="L56" i="32"/>
  <c r="I56" i="32"/>
  <c r="X25" i="32"/>
  <c r="AA8" i="32"/>
  <c r="AA7" i="32"/>
  <c r="AA4" i="32"/>
  <c r="K41" i="32"/>
  <c r="M41" i="32"/>
  <c r="M29" i="32"/>
  <c r="Q29" i="32" s="1"/>
  <c r="K29" i="32"/>
  <c r="P29" i="32" l="1"/>
  <c r="I24" i="33"/>
  <c r="C3" i="33"/>
  <c r="B9" i="33"/>
  <c r="N28" i="18"/>
  <c r="T4" i="33" l="1"/>
  <c r="S29" i="32" l="1"/>
  <c r="S58" i="32"/>
  <c r="S59" i="32"/>
  <c r="S60" i="32"/>
  <c r="S61" i="32"/>
  <c r="S62" i="32"/>
  <c r="S63" i="32"/>
  <c r="S64" i="32"/>
  <c r="S65" i="32"/>
  <c r="S66" i="32"/>
  <c r="S67" i="32"/>
  <c r="AA5" i="32"/>
  <c r="AA6" i="32" s="1"/>
  <c r="T17" i="33"/>
  <c r="E25" i="33" l="1"/>
  <c r="V13" i="33"/>
  <c r="E2" i="33"/>
  <c r="I40" i="32" l="1"/>
  <c r="G29" i="33"/>
  <c r="G26" i="33"/>
  <c r="G24" i="33"/>
  <c r="G17" i="33"/>
  <c r="G27" i="33"/>
  <c r="G19" i="33"/>
  <c r="G20" i="33"/>
  <c r="G21" i="33"/>
  <c r="G22" i="33"/>
  <c r="G23" i="33"/>
  <c r="G18" i="33"/>
  <c r="W2" i="33" l="1"/>
  <c r="P2" i="33" s="1"/>
  <c r="E29" i="33"/>
  <c r="C29" i="33" s="1"/>
  <c r="E28" i="33"/>
  <c r="C28" i="33" s="1"/>
  <c r="E26" i="33"/>
  <c r="C26" i="33" s="1"/>
  <c r="E16" i="33"/>
  <c r="C16" i="33" s="1"/>
  <c r="E15" i="33"/>
  <c r="C15" i="33" s="1"/>
  <c r="E14" i="33"/>
  <c r="C14" i="33" s="1"/>
  <c r="E13" i="33"/>
  <c r="C13" i="33" s="1"/>
  <c r="E11" i="33"/>
  <c r="C11" i="33" s="1"/>
  <c r="E10" i="33"/>
  <c r="C10" i="33" s="1"/>
  <c r="E9" i="33"/>
  <c r="C9" i="33" s="1"/>
  <c r="E7" i="33"/>
  <c r="C7" i="33" s="1"/>
  <c r="E5" i="33"/>
  <c r="C5" i="33" s="1"/>
  <c r="E24" i="33"/>
  <c r="C24" i="33" s="1"/>
  <c r="E27" i="33"/>
  <c r="I27" i="33" s="1"/>
  <c r="E12" i="33"/>
  <c r="C12" i="33" s="1"/>
  <c r="E8" i="33"/>
  <c r="C8" i="33" s="1"/>
  <c r="E6" i="33"/>
  <c r="C6" i="33" s="1"/>
  <c r="E4" i="33"/>
  <c r="C4" i="33" s="1"/>
  <c r="E3" i="33"/>
  <c r="C2" i="33"/>
  <c r="C25" i="33"/>
  <c r="E23" i="33"/>
  <c r="C23" i="33" s="1"/>
  <c r="E22" i="33"/>
  <c r="C22" i="33" s="1"/>
  <c r="E21" i="33"/>
  <c r="C21" i="33" s="1"/>
  <c r="E20" i="33"/>
  <c r="C20" i="33" s="1"/>
  <c r="E19" i="33"/>
  <c r="C19" i="33" s="1"/>
  <c r="E18" i="33"/>
  <c r="C18" i="33" s="1"/>
  <c r="E17" i="33"/>
  <c r="C27" i="33" l="1"/>
  <c r="B17" i="33"/>
  <c r="L17" i="33" s="1"/>
  <c r="C17" i="33"/>
  <c r="B15" i="33"/>
  <c r="L15" i="33" s="1"/>
  <c r="I15" i="33"/>
  <c r="I17" i="33"/>
  <c r="B2" i="33"/>
  <c r="L2" i="33" s="1"/>
  <c r="I2" i="33"/>
  <c r="B5" i="33"/>
  <c r="L5" i="33" s="1"/>
  <c r="I5" i="33"/>
  <c r="B16" i="33"/>
  <c r="L16" i="33" s="1"/>
  <c r="I16" i="33"/>
  <c r="B3" i="33"/>
  <c r="L3" i="33" s="1"/>
  <c r="I3" i="33"/>
  <c r="B4" i="33"/>
  <c r="L4" i="33" s="1"/>
  <c r="I4" i="33"/>
  <c r="B25" i="33"/>
  <c r="L25" i="33" s="1"/>
  <c r="I25" i="33"/>
  <c r="B26" i="33"/>
  <c r="L26" i="33" s="1"/>
  <c r="I26" i="33"/>
  <c r="L9" i="33"/>
  <c r="I9" i="33"/>
  <c r="B29" i="33"/>
  <c r="L29" i="33" s="1"/>
  <c r="I29" i="33"/>
  <c r="B22" i="33"/>
  <c r="L22" i="33" s="1"/>
  <c r="I22" i="33"/>
  <c r="B13" i="33"/>
  <c r="L13" i="33" s="1"/>
  <c r="I13" i="33"/>
  <c r="B24" i="33"/>
  <c r="L24" i="33" s="1"/>
  <c r="B18" i="33"/>
  <c r="L18" i="33" s="1"/>
  <c r="I18" i="33"/>
  <c r="B7" i="33"/>
  <c r="L7" i="33" s="1"/>
  <c r="I7" i="33"/>
  <c r="B19" i="33"/>
  <c r="L19" i="33" s="1"/>
  <c r="I19" i="33"/>
  <c r="B28" i="33"/>
  <c r="L28" i="33" s="1"/>
  <c r="I28" i="33"/>
  <c r="B20" i="33"/>
  <c r="L20" i="33" s="1"/>
  <c r="I20" i="33"/>
  <c r="B6" i="33"/>
  <c r="L6" i="33" s="1"/>
  <c r="I6" i="33"/>
  <c r="B10" i="33"/>
  <c r="L10" i="33" s="1"/>
  <c r="I10" i="33"/>
  <c r="B21" i="33"/>
  <c r="L21" i="33" s="1"/>
  <c r="I21" i="33"/>
  <c r="B8" i="33"/>
  <c r="L8" i="33" s="1"/>
  <c r="I8" i="33"/>
  <c r="B11" i="33"/>
  <c r="L11" i="33" s="1"/>
  <c r="I11" i="33"/>
  <c r="B12" i="33"/>
  <c r="L12" i="33" s="1"/>
  <c r="I12" i="33"/>
  <c r="B23" i="33"/>
  <c r="L23" i="33" s="1"/>
  <c r="I23" i="33"/>
  <c r="B14" i="33"/>
  <c r="L14" i="33" s="1"/>
  <c r="I14" i="33"/>
  <c r="B27" i="33"/>
  <c r="L27" i="33" s="1"/>
  <c r="K78" i="18"/>
  <c r="N10" i="18"/>
  <c r="G30" i="34"/>
  <c r="C2" i="34"/>
  <c r="B2" i="34"/>
  <c r="D4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53" i="20"/>
  <c r="H25" i="34" l="1"/>
  <c r="I2" i="34"/>
  <c r="I25" i="34" s="1"/>
  <c r="D24" i="34"/>
  <c r="B24" i="34"/>
  <c r="C24" i="34"/>
  <c r="G2" i="34"/>
  <c r="G25" i="34" s="1"/>
  <c r="H30" i="34" s="1"/>
  <c r="I30" i="34" l="1"/>
  <c r="P41" i="32"/>
  <c r="O41" i="32"/>
  <c r="Q41" i="32" s="1"/>
  <c r="I41" i="32"/>
  <c r="K40" i="32"/>
  <c r="L40" i="32" s="1"/>
  <c r="K7" i="32"/>
  <c r="K6" i="32"/>
  <c r="K9" i="32"/>
  <c r="S9" i="32" s="1"/>
  <c r="M39" i="32"/>
  <c r="Q39" i="32" s="1"/>
  <c r="M17" i="32"/>
  <c r="Q17" i="32" s="1"/>
  <c r="M55" i="32"/>
  <c r="P55" i="32" s="1"/>
  <c r="K55" i="32"/>
  <c r="S55" i="32" s="1"/>
  <c r="K54" i="32"/>
  <c r="S54" i="32" s="1"/>
  <c r="I54" i="32"/>
  <c r="L54" i="32" s="1"/>
  <c r="M53" i="32"/>
  <c r="Q53" i="32" s="1"/>
  <c r="K53" i="32"/>
  <c r="S53" i="32" s="1"/>
  <c r="K52" i="32"/>
  <c r="S52" i="32" s="1"/>
  <c r="I52" i="32"/>
  <c r="L52" i="32" s="1"/>
  <c r="M43" i="32"/>
  <c r="Q43" i="32" s="1"/>
  <c r="K43" i="32"/>
  <c r="S43" i="32" s="1"/>
  <c r="K42" i="32"/>
  <c r="S42" i="32" s="1"/>
  <c r="I42" i="32"/>
  <c r="L42" i="32" s="1"/>
  <c r="M21" i="32"/>
  <c r="P21" i="32" s="1"/>
  <c r="K21" i="32"/>
  <c r="S21" i="32" s="1"/>
  <c r="K20" i="32"/>
  <c r="S20" i="32" s="1"/>
  <c r="I20" i="32"/>
  <c r="M19" i="32"/>
  <c r="Q19" i="32" s="1"/>
  <c r="K19" i="32"/>
  <c r="S19" i="32" s="1"/>
  <c r="K18" i="32"/>
  <c r="S18" i="32" s="1"/>
  <c r="I18" i="32"/>
  <c r="K39" i="32"/>
  <c r="S39" i="32" s="1"/>
  <c r="K38" i="32"/>
  <c r="S38" i="32" s="1"/>
  <c r="I38" i="32"/>
  <c r="K17" i="32"/>
  <c r="S17" i="32" s="1"/>
  <c r="K16" i="32"/>
  <c r="S16" i="32" s="1"/>
  <c r="I16" i="32"/>
  <c r="M37" i="32"/>
  <c r="Q37" i="32" s="1"/>
  <c r="K37" i="32"/>
  <c r="S37" i="32" s="1"/>
  <c r="K36" i="32"/>
  <c r="S36" i="32" s="1"/>
  <c r="I36" i="32"/>
  <c r="M11" i="32"/>
  <c r="Q11" i="32" s="1"/>
  <c r="K11" i="32"/>
  <c r="S11" i="32" s="1"/>
  <c r="K10" i="32"/>
  <c r="S10" i="32" s="1"/>
  <c r="M27" i="32"/>
  <c r="Q27" i="32" s="1"/>
  <c r="K27" i="32"/>
  <c r="S27" i="32" s="1"/>
  <c r="K26" i="32"/>
  <c r="S26" i="32" s="1"/>
  <c r="I26" i="32"/>
  <c r="M25" i="32"/>
  <c r="Q25" i="32" s="1"/>
  <c r="K25" i="32"/>
  <c r="S25" i="32" s="1"/>
  <c r="K24" i="32"/>
  <c r="S24" i="32" s="1"/>
  <c r="I24" i="32"/>
  <c r="K56" i="32"/>
  <c r="S56" i="32" s="1"/>
  <c r="M23" i="32"/>
  <c r="Q23" i="32" s="1"/>
  <c r="K23" i="32"/>
  <c r="S23" i="32" s="1"/>
  <c r="K22" i="32"/>
  <c r="S22" i="32" s="1"/>
  <c r="I22" i="32"/>
  <c r="M7" i="32"/>
  <c r="B202" i="15"/>
  <c r="B127" i="13"/>
  <c r="L36" i="32" l="1"/>
  <c r="L26" i="32"/>
  <c r="L20" i="32"/>
  <c r="L18" i="32"/>
  <c r="L16" i="32"/>
  <c r="L24" i="32"/>
  <c r="L22" i="32"/>
  <c r="L38" i="32"/>
  <c r="P17" i="32"/>
  <c r="Q55" i="32"/>
  <c r="Q21" i="32"/>
  <c r="P19" i="32"/>
  <c r="P53" i="32"/>
  <c r="P43" i="32"/>
  <c r="P39" i="32"/>
  <c r="P23" i="32"/>
  <c r="P37" i="32"/>
  <c r="P11" i="32"/>
  <c r="P27" i="32"/>
  <c r="P25" i="32"/>
  <c r="K28" i="32" l="1"/>
  <c r="AF9" i="32"/>
  <c r="AF10" i="32"/>
  <c r="AF11" i="32"/>
  <c r="AE5" i="32"/>
  <c r="AE8" i="32"/>
  <c r="AE9" i="32"/>
  <c r="AE10" i="32"/>
  <c r="AE11" i="32"/>
  <c r="S28" i="32" l="1"/>
  <c r="X32" i="32" s="1"/>
  <c r="Y12" i="32"/>
  <c r="M5" i="32"/>
  <c r="Q5" i="32" s="1"/>
  <c r="K5" i="32"/>
  <c r="K4" i="32"/>
  <c r="I4" i="32"/>
  <c r="L4" i="32" s="1"/>
  <c r="I32" i="32"/>
  <c r="L32" i="32" s="1"/>
  <c r="M35" i="32"/>
  <c r="Q35" i="32" s="1"/>
  <c r="K35" i="32"/>
  <c r="K34" i="32"/>
  <c r="L34" i="32" s="1"/>
  <c r="M33" i="32"/>
  <c r="Q33" i="32" s="1"/>
  <c r="K33" i="32"/>
  <c r="K32" i="32"/>
  <c r="M31" i="32"/>
  <c r="P31" i="32" s="1"/>
  <c r="K31" i="32"/>
  <c r="I31" i="32"/>
  <c r="O31" i="32"/>
  <c r="K30" i="32"/>
  <c r="I30" i="32"/>
  <c r="L30" i="32" s="1"/>
  <c r="M13" i="32"/>
  <c r="Z5" i="32"/>
  <c r="Z6" i="32"/>
  <c r="AF6" i="32" s="1"/>
  <c r="Z7" i="32"/>
  <c r="Z8" i="32"/>
  <c r="AF8" i="32" s="1"/>
  <c r="Z4" i="32"/>
  <c r="AF4" i="32" s="1"/>
  <c r="M15" i="32"/>
  <c r="M9" i="32"/>
  <c r="M3" i="32"/>
  <c r="Q31" i="32" l="1"/>
  <c r="P33" i="32"/>
  <c r="P5" i="32"/>
  <c r="P35" i="32"/>
  <c r="Z12" i="32"/>
  <c r="M69" i="32"/>
  <c r="P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Q7" i="32" s="1"/>
  <c r="W12" i="32"/>
  <c r="O15" i="32"/>
  <c r="O13" i="32"/>
  <c r="O9" i="32"/>
  <c r="O3" i="32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1" i="13" l="1"/>
  <c r="G110" i="13"/>
  <c r="G107" i="13"/>
  <c r="G106" i="13"/>
  <c r="G109" i="13"/>
  <c r="G104" i="13"/>
  <c r="G105" i="13"/>
  <c r="G108" i="13"/>
  <c r="G103" i="13"/>
  <c r="G102" i="13"/>
  <c r="D147" i="20"/>
  <c r="K13" i="32" l="1"/>
  <c r="K15" i="32"/>
  <c r="S15" i="32" s="1"/>
  <c r="K14" i="32"/>
  <c r="AB8" i="32"/>
  <c r="AG8" i="32" s="1"/>
  <c r="AB9" i="32"/>
  <c r="AG9" i="32" s="1"/>
  <c r="AB10" i="32"/>
  <c r="AB4" i="32"/>
  <c r="S14" i="32" l="1"/>
  <c r="L14" i="32" s="1"/>
  <c r="AB5" i="32"/>
  <c r="AG5" i="32" s="1"/>
  <c r="AG4" i="32"/>
  <c r="AC4" i="32"/>
  <c r="P9" i="32"/>
  <c r="Q9" i="32"/>
  <c r="P5" i="33"/>
  <c r="AD5" i="32" l="1"/>
  <c r="AB7" i="32"/>
  <c r="AB6" i="32"/>
  <c r="AE4" i="32"/>
  <c r="AF5" i="32"/>
  <c r="P44" i="33"/>
  <c r="P28" i="33"/>
  <c r="P20" i="33"/>
  <c r="P12" i="33"/>
  <c r="P3" i="33"/>
  <c r="P43" i="33"/>
  <c r="P35" i="33"/>
  <c r="P27" i="33"/>
  <c r="P19" i="33"/>
  <c r="P11" i="33"/>
  <c r="R2" i="33"/>
  <c r="P42" i="33"/>
  <c r="P34" i="33"/>
  <c r="P26" i="33"/>
  <c r="P18" i="33"/>
  <c r="P10" i="33"/>
  <c r="P49" i="33"/>
  <c r="P41" i="33"/>
  <c r="P33" i="33"/>
  <c r="P25" i="33"/>
  <c r="P17" i="33"/>
  <c r="P9" i="33"/>
  <c r="P48" i="33"/>
  <c r="P40" i="33"/>
  <c r="P32" i="33"/>
  <c r="P24" i="33"/>
  <c r="P16" i="33"/>
  <c r="P8" i="33"/>
  <c r="P7" i="33"/>
  <c r="P36" i="33"/>
  <c r="P47" i="33"/>
  <c r="P39" i="33"/>
  <c r="P31" i="33"/>
  <c r="P23" i="33"/>
  <c r="P15" i="33"/>
  <c r="P4" i="33"/>
  <c r="P46" i="33"/>
  <c r="P38" i="33"/>
  <c r="P30" i="33"/>
  <c r="P22" i="33"/>
  <c r="P14" i="33"/>
  <c r="P6" i="33"/>
  <c r="P45" i="33"/>
  <c r="P37" i="33"/>
  <c r="P29" i="33"/>
  <c r="P21" i="33"/>
  <c r="P13" i="33"/>
  <c r="Q1" i="33"/>
  <c r="Q2" i="33" s="1"/>
  <c r="Q3" i="33" s="1"/>
  <c r="Q4" i="33" s="1"/>
  <c r="Q5" i="33" s="1"/>
  <c r="Q6" i="33" s="1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K2" i="32"/>
  <c r="K3" i="32"/>
  <c r="S3" i="32" s="1"/>
  <c r="K8" i="32"/>
  <c r="K12" i="32"/>
  <c r="L12" i="32" s="1"/>
  <c r="S8" i="32" l="1"/>
  <c r="L8" i="32" s="1"/>
  <c r="S2" i="32"/>
  <c r="L2" i="32" s="1"/>
  <c r="AG6" i="32"/>
  <c r="AC6" i="32"/>
  <c r="AB12" i="32"/>
  <c r="AG7" i="32"/>
  <c r="AC7" i="32"/>
  <c r="R3" i="33"/>
  <c r="R4" i="33" s="1"/>
  <c r="R5" i="33" s="1"/>
  <c r="R6" i="33" s="1"/>
  <c r="Q34" i="33"/>
  <c r="Q35" i="33" s="1"/>
  <c r="Q36" i="33" s="1"/>
  <c r="Q37" i="33" s="1"/>
  <c r="Q38" i="33" s="1"/>
  <c r="Q39" i="33" s="1"/>
  <c r="Q40" i="33" s="1"/>
  <c r="Q41" i="33" s="1"/>
  <c r="Q42" i="33" s="1"/>
  <c r="Q43" i="33" s="1"/>
  <c r="Q44" i="33" s="1"/>
  <c r="Q45" i="33" s="1"/>
  <c r="Q46" i="33" s="1"/>
  <c r="Q47" i="33" s="1"/>
  <c r="Q48" i="33" s="1"/>
  <c r="Q49" i="33" s="1"/>
  <c r="N21" i="18"/>
  <c r="N11" i="18"/>
  <c r="V14" i="18"/>
  <c r="O11" i="18"/>
  <c r="C16" i="18"/>
  <c r="AE6" i="32" l="1"/>
  <c r="AC12" i="32"/>
  <c r="AE7" i="32"/>
  <c r="AD7" i="32"/>
  <c r="AG12" i="32"/>
  <c r="X34" i="32" s="1"/>
  <c r="R7" i="33"/>
  <c r="R8" i="33" s="1"/>
  <c r="R9" i="33" s="1"/>
  <c r="R10" i="33" s="1"/>
  <c r="R11" i="33" s="1"/>
  <c r="R12" i="33" s="1"/>
  <c r="L23" i="18"/>
  <c r="P3" i="32"/>
  <c r="Q3" i="32"/>
  <c r="P13" i="32"/>
  <c r="Q13" i="32"/>
  <c r="P15" i="32"/>
  <c r="Q15" i="32"/>
  <c r="F194" i="15"/>
  <c r="F196" i="15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E186" i="15"/>
  <c r="AE12" i="32" l="1"/>
  <c r="AF7" i="32"/>
  <c r="AF12" i="32" s="1"/>
  <c r="AD12" i="32"/>
  <c r="R13" i="33"/>
  <c r="R14" i="33" s="1"/>
  <c r="R15" i="33" s="1"/>
  <c r="R16" i="33" s="1"/>
  <c r="R17" i="33" s="1"/>
  <c r="R18" i="33" s="1"/>
  <c r="R19" i="33" s="1"/>
  <c r="R20" i="33" s="1"/>
  <c r="R21" i="33" s="1"/>
  <c r="R22" i="33" s="1"/>
  <c r="R23" i="33" s="1"/>
  <c r="R24" i="33" s="1"/>
  <c r="R25" i="33" s="1"/>
  <c r="R26" i="33" s="1"/>
  <c r="R27" i="33" s="1"/>
  <c r="R28" i="33" s="1"/>
  <c r="R29" i="33" s="1"/>
  <c r="R30" i="33" s="1"/>
  <c r="R31" i="33" s="1"/>
  <c r="R32" i="33" s="1"/>
  <c r="R33" i="33" s="1"/>
  <c r="R34" i="33" s="1"/>
  <c r="R35" i="33" s="1"/>
  <c r="R36" i="33" s="1"/>
  <c r="R37" i="33" s="1"/>
  <c r="R38" i="33" s="1"/>
  <c r="R39" i="33" s="1"/>
  <c r="R40" i="33" s="1"/>
  <c r="R41" i="33" s="1"/>
  <c r="R42" i="33" s="1"/>
  <c r="R43" i="33" s="1"/>
  <c r="R44" i="33" s="1"/>
  <c r="R45" i="33" s="1"/>
  <c r="R46" i="33" s="1"/>
  <c r="R47" i="33" s="1"/>
  <c r="R48" i="33" s="1"/>
  <c r="R49" i="33" s="1"/>
  <c r="F190" i="15"/>
  <c r="F189" i="15"/>
  <c r="F188" i="15"/>
  <c r="P69" i="32"/>
  <c r="F186" i="15"/>
  <c r="Q69" i="32"/>
  <c r="F201" i="15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Z16" i="32" l="1"/>
  <c r="G53" i="16"/>
  <c r="G54" i="16"/>
  <c r="G59" i="16"/>
  <c r="G64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F65" i="16"/>
  <c r="F66" i="16"/>
  <c r="F67" i="16"/>
  <c r="F68" i="16"/>
  <c r="F69" i="16"/>
  <c r="G55" i="16"/>
  <c r="L24" i="18" l="1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N27" i="18" l="1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V11" i="18" l="1"/>
  <c r="D141" i="20" l="1"/>
  <c r="F2" i="16" l="1"/>
  <c r="G2" i="16" s="1"/>
  <c r="F185" i="15" l="1"/>
  <c r="V10" i="18"/>
  <c r="V12" i="18"/>
  <c r="V13" i="18"/>
  <c r="V9" i="18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9" i="20"/>
  <c r="K150" i="20"/>
  <c r="K151" i="20"/>
  <c r="K152" i="20"/>
  <c r="K153" i="20"/>
  <c r="K154" i="20"/>
  <c r="K155" i="20"/>
  <c r="J149" i="20"/>
  <c r="J150" i="20"/>
  <c r="J151" i="20"/>
  <c r="J152" i="20"/>
  <c r="J153" i="20"/>
  <c r="J154" i="20"/>
  <c r="J155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8" i="20" l="1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V8" i="18" l="1"/>
  <c r="V7" i="18" l="1"/>
  <c r="V6" i="18" l="1"/>
  <c r="V5" i="18" l="1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V4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V3" i="18"/>
  <c r="V2" i="18"/>
  <c r="V18" i="18" l="1"/>
  <c r="D133" i="20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58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5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16" i="18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B27" i="14"/>
  <c r="E21" i="14"/>
  <c r="E20" i="14" s="1"/>
  <c r="L27" i="18" l="1"/>
  <c r="F15" i="18" s="1"/>
  <c r="G15" i="18" s="1"/>
  <c r="L28" i="18"/>
  <c r="E33" i="13"/>
  <c r="G34" i="13"/>
  <c r="I97" i="20"/>
  <c r="K97" i="20"/>
  <c r="J97" i="20"/>
  <c r="F108" i="15"/>
  <c r="C20" i="18"/>
  <c r="E19" i="14"/>
  <c r="G20" i="14"/>
  <c r="G21" i="14"/>
  <c r="L29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</calcChain>
</file>

<file path=xl/sharedStrings.xml><?xml version="1.0" encoding="utf-8"?>
<sst xmlns="http://schemas.openxmlformats.org/spreadsheetml/2006/main" count="2676" uniqueCount="1110">
  <si>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</si>
  <si>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</si>
  <si>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</si>
  <si>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</si>
  <si>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</si>
  <si>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</si>
  <si>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</si>
  <si>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</si>
  <si>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</si>
  <si>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</si>
  <si>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</si>
  <si>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</si>
  <si>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</si>
  <si>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</si>
  <si>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</si>
  <si>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</si>
  <si>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</si>
  <si>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</si>
  <si>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</si>
  <si>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</si>
  <si>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</si>
  <si>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</si>
  <si>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</si>
  <si>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</si>
  <si>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</si>
  <si>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</si>
  <si>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</si>
  <si>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</si>
  <si>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</si>
  <si>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</si>
  <si>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</si>
  <si>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</si>
  <si>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</si>
  <si>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</si>
  <si>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</si>
  <si>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</si>
  <si>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</si>
  <si>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</si>
  <si>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</si>
  <si>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</si>
  <si>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</si>
  <si>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</si>
  <si>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</si>
  <si>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</si>
  <si>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</si>
  <si>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</si>
  <si>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</si>
  <si>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</si>
  <si>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</si>
  <si>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</si>
  <si>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</si>
  <si>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</si>
  <si>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</si>
  <si>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</si>
  <si>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</si>
  <si>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</si>
  <si>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</si>
  <si>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</si>
  <si>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</si>
  <si>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</si>
  <si>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</si>
  <si>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</si>
  <si>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</si>
  <si>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</si>
  <si>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</si>
  <si>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</si>
  <si>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</si>
  <si>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</si>
  <si>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</si>
  <si>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</si>
  <si>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</si>
  <si>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</si>
  <si>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</si>
  <si>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</si>
  <si>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</si>
  <si>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</si>
  <si>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</si>
  <si>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</si>
  <si>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</si>
  <si>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</si>
  <si>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</si>
  <si>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</si>
  <si>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</si>
  <si>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</si>
  <si>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</si>
  <si>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</si>
  <si>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</si>
  <si>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</si>
  <si>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</si>
  <si>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</si>
  <si>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</si>
  <si>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</si>
  <si>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</si>
  <si>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</si>
  <si>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</si>
  <si>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</si>
  <si>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</si>
  <si>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</si>
  <si>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</si>
  <si>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</si>
  <si>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</si>
  <si>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</si>
  <si>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</si>
  <si>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</si>
  <si>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</si>
  <si>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</si>
  <si>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</si>
  <si>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</si>
  <si>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</si>
  <si>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</si>
  <si>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</si>
  <si>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</si>
  <si>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</si>
  <si>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</si>
  <si>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</si>
  <si>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</si>
  <si>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</si>
  <si>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</si>
  <si>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</si>
  <si>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</si>
  <si>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</si>
  <si>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</si>
  <si>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</si>
  <si>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</si>
  <si>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</si>
  <si>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</si>
  <si>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</si>
  <si>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</si>
  <si>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</si>
  <si>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</si>
  <si>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</si>
  <si>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</si>
  <si>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</si>
  <si>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</si>
  <si>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</si>
  <si>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</si>
  <si>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</si>
  <si>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</si>
  <si>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</si>
  <si>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</si>
  <si>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</si>
  <si>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</si>
  <si>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</si>
  <si>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</si>
  <si>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</si>
  <si>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</si>
  <si>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</si>
  <si>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</si>
  <si>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</si>
  <si>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</si>
  <si>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</si>
  <si>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</si>
  <si>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</si>
  <si>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</si>
  <si>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</si>
  <si>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</si>
  <si>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</si>
  <si>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</si>
  <si>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</si>
  <si>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</si>
  <si>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</si>
  <si>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</si>
  <si>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</si>
  <si>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</si>
  <si>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</si>
  <si>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</si>
  <si>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</si>
  <si>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</si>
  <si>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</si>
  <si>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</si>
  <si>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</si>
  <si>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</si>
  <si>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</si>
  <si>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</si>
  <si>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</si>
  <si>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</si>
  <si>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</si>
  <si>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</si>
  <si>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</si>
  <si>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</si>
  <si>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</si>
  <si>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</si>
  <si>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</si>
  <si>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</si>
  <si>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</si>
  <si>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</si>
  <si>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</si>
  <si>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</si>
  <si>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</si>
  <si>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</si>
  <si>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</si>
  <si>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</si>
  <si>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</si>
  <si>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</si>
  <si>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</si>
  <si>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</si>
  <si>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</si>
  <si>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</si>
  <si>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</si>
  <si>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</si>
  <si>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</si>
  <si>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</si>
  <si>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</si>
  <si>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</si>
  <si>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</si>
  <si>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</si>
  <si>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</si>
  <si>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</si>
  <si>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</si>
  <si>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</si>
  <si>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</si>
  <si>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</si>
  <si>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</si>
  <si>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</si>
  <si>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</si>
  <si>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</si>
  <si>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</si>
  <si>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</si>
  <si>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</si>
  <si>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</si>
  <si>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</si>
  <si>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</si>
  <si>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</si>
  <si>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</si>
  <si>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</si>
  <si>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</si>
  <si>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</si>
  <si>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</si>
  <si>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</si>
  <si>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</si>
  <si>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</si>
  <si>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</si>
  <si>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</si>
  <si>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</si>
  <si>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</si>
  <si>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</si>
  <si>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</si>
  <si>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</si>
  <si>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</si>
  <si>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</si>
  <si>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</si>
  <si>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</si>
  <si>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</si>
  <si>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</si>
  <si>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</si>
  <si>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</si>
  <si>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</si>
  <si>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</si>
  <si>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</si>
  <si>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</si>
  <si>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</si>
  <si>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</si>
  <si>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</si>
  <si>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</si>
  <si>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</si>
  <si>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</si>
  <si>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</si>
  <si>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</si>
  <si>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</si>
  <si>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</si>
  <si>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</si>
  <si>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</si>
  <si>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</si>
  <si>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</si>
  <si>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</si>
  <si>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</si>
  <si>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</si>
  <si>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</si>
  <si>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</si>
  <si>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</si>
  <si>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</si>
  <si>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</si>
  <si>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</si>
  <si>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</si>
  <si>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</si>
  <si>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</si>
  <si>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</si>
  <si>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</si>
  <si>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</si>
  <si>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</si>
  <si>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</si>
  <si>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</si>
  <si>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</si>
  <si>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</si>
  <si>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</si>
  <si>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</si>
  <si>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</si>
  <si>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</si>
  <si>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</si>
  <si>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</si>
  <si>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</si>
  <si>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</si>
  <si>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</si>
  <si>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</si>
  <si>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</si>
  <si>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</si>
  <si>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</si>
  <si>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</si>
  <si>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</si>
  <si>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</si>
  <si>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</si>
  <si>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</si>
  <si>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</si>
  <si>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</si>
  <si>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</si>
  <si>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</si>
  <si>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</si>
  <si>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</si>
  <si>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</si>
  <si>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</si>
  <si>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</si>
  <si>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</si>
  <si>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</si>
  <si>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</si>
  <si>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</si>
  <si>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</si>
  <si>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</si>
  <si>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</si>
  <si>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</si>
  <si>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</si>
  <si>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</si>
  <si>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</si>
  <si>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</si>
  <si>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</si>
  <si>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</si>
  <si>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</si>
  <si>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</si>
  <si>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</si>
  <si>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</si>
  <si>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</si>
  <si>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</si>
  <si>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</si>
  <si>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</si>
  <si>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</si>
  <si>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</si>
  <si>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</si>
  <si>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</si>
  <si>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</si>
  <si>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</si>
  <si>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</si>
  <si>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</si>
  <si>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</si>
  <si>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</si>
  <si>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</si>
  <si>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</si>
  <si>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</si>
  <si>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</si>
  <si>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</si>
  <si>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</si>
  <si>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</si>
  <si>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</si>
  <si>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</si>
  <si>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</si>
  <si>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</si>
  <si>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</si>
  <si>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</si>
  <si>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</si>
  <si>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</si>
  <si>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</si>
  <si>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</si>
  <si>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</si>
  <si>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</si>
  <si>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</si>
  <si>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</si>
  <si>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</si>
  <si>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</si>
  <si>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</si>
  <si>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</si>
  <si>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</si>
  <si>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</si>
  <si>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</si>
  <si>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</si>
  <si>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</si>
  <si>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</si>
  <si>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</si>
  <si>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</si>
  <si>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</si>
  <si>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</si>
  <si>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</si>
  <si>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</si>
  <si>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</si>
  <si>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</si>
  <si>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</si>
  <si>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</si>
  <si>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</si>
  <si>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</si>
  <si>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</si>
  <si>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</si>
  <si>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</si>
  <si>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</si>
  <si>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</si>
  <si>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</si>
  <si>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</si>
  <si>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</si>
  <si>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</si>
  <si>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</si>
  <si>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</si>
  <si>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</si>
  <si>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</si>
  <si>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</si>
  <si>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</si>
  <si>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</si>
  <si>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</si>
  <si>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</si>
  <si>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</si>
  <si>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</si>
  <si>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</si>
  <si>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</si>
  <si>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</si>
  <si>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</si>
  <si>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</si>
  <si>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</si>
  <si>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</si>
  <si>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</si>
  <si>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</si>
  <si>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</si>
  <si>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</si>
  <si>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</si>
  <si>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</si>
  <si>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</si>
  <si>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</si>
  <si>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</si>
  <si>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</si>
  <si>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</si>
  <si>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</si>
  <si>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</si>
  <si>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</si>
  <si>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</si>
  <si>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</si>
  <si>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</si>
  <si>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</si>
  <si>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</si>
  <si>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</si>
  <si>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</si>
  <si>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</si>
  <si>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</si>
  <si>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</si>
  <si>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</si>
  <si>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</si>
  <si>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</si>
  <si>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</si>
  <si>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</si>
  <si>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</si>
  <si>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</si>
  <si>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</si>
  <si>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</si>
  <si>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</si>
  <si>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</si>
  <si>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</si>
  <si>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</si>
  <si>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</si>
  <si>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</si>
  <si>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</si>
  <si>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</si>
  <si>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</si>
  <si>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</si>
  <si>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</si>
  <si>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</si>
  <si>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</si>
  <si>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</si>
  <si>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</si>
  <si>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</si>
  <si>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</si>
  <si>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</si>
  <si>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</si>
  <si>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</si>
  <si>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</si>
  <si>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</si>
  <si>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</si>
  <si>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</si>
  <si>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</si>
  <si>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</si>
  <si>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</si>
  <si>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</si>
  <si>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</si>
  <si>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</si>
  <si>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</si>
  <si>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</si>
  <si>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</si>
  <si>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</si>
  <si>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</si>
  <si>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</si>
  <si>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</si>
  <si>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</si>
  <si>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</si>
  <si>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</si>
  <si>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</si>
  <si>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</si>
  <si>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</si>
  <si>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</si>
  <si>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</si>
  <si>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</si>
  <si>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</si>
  <si>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</si>
  <si>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</si>
  <si>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</si>
  <si>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</si>
  <si>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</si>
  <si>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</si>
  <si>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</si>
  <si>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</si>
  <si>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</si>
  <si>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</si>
  <si>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</si>
  <si>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</si>
  <si>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</si>
  <si>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</si>
  <si>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</si>
  <si>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</si>
  <si>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</si>
  <si>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</si>
  <si>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</si>
  <si>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</si>
  <si>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</si>
  <si>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</si>
  <si>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</si>
  <si>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</si>
  <si>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</si>
  <si>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</si>
  <si>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</si>
  <si>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</si>
  <si>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</si>
  <si>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</si>
  <si>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</si>
  <si>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</si>
  <si>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</si>
  <si>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</si>
  <si>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</si>
  <si>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</si>
  <si>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</si>
  <si>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</si>
  <si>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</si>
  <si>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</si>
  <si>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</si>
  <si>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</si>
  <si>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</si>
  <si>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</si>
  <si>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</si>
  <si>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</si>
  <si>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</si>
  <si>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</si>
  <si>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</si>
  <si>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</si>
  <si>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</si>
  <si>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</si>
  <si>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</si>
  <si>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</si>
  <si>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</si>
  <si>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</si>
  <si>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</si>
  <si>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</si>
  <si>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</si>
  <si>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</si>
  <si>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</si>
  <si>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</si>
  <si>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</si>
  <si>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</si>
  <si>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</si>
  <si>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</si>
  <si>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</si>
  <si>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</si>
  <si>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</si>
  <si>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</si>
  <si>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</si>
  <si>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</si>
  <si>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</si>
  <si>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</si>
  <si>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</si>
  <si>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</si>
  <si>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</si>
  <si>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</si>
  <si>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</si>
  <si>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</si>
  <si>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</si>
  <si>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</si>
  <si>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</si>
  <si>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</si>
  <si>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</si>
  <si>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</si>
  <si>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</si>
  <si>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</si>
  <si>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</si>
  <si>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</si>
  <si>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</si>
  <si>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</si>
  <si>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</si>
  <si>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</si>
  <si>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</si>
  <si>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</si>
  <si>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</si>
  <si>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</si>
  <si>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</si>
  <si>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</si>
  <si>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</si>
  <si>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</si>
  <si>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</si>
  <si>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</si>
  <si>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</si>
  <si>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</si>
  <si>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</si>
  <si>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</si>
  <si>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</si>
  <si>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</si>
  <si>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</si>
  <si>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</si>
  <si>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</si>
  <si>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</si>
  <si>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</si>
  <si>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</si>
  <si>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</si>
  <si>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</si>
  <si>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</si>
  <si>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</si>
  <si>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</si>
  <si>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</si>
  <si>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</si>
  <si>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</si>
  <si>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</si>
  <si>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</si>
  <si>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</si>
  <si>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</si>
  <si>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</si>
  <si>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</si>
  <si>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</si>
  <si>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</si>
  <si>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</si>
  <si>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</si>
  <si>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</si>
  <si>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</si>
  <si>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</si>
  <si>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</si>
  <si>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</si>
  <si>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</si>
  <si>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</si>
  <si>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</si>
  <si>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</si>
  <si>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</si>
  <si>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</si>
  <si>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</si>
  <si>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</si>
  <si>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</si>
  <si>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</si>
  <si>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</si>
  <si>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</si>
  <si>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</si>
  <si>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</si>
  <si>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</si>
  <si>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</si>
  <si>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</si>
  <si>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</si>
  <si>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</si>
  <si>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</si>
  <si>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</si>
  <si>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</si>
  <si>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</si>
  <si>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</si>
  <si>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</si>
  <si>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</si>
  <si>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</si>
  <si>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</si>
  <si>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</si>
  <si>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</si>
  <si>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</si>
  <si>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</si>
  <si>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</si>
  <si>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</si>
  <si>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</si>
  <si>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</si>
  <si>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</si>
  <si>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</si>
  <si>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</si>
  <si>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</si>
  <si>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</si>
  <si>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</si>
  <si>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</si>
  <si>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</si>
  <si>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</si>
  <si>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</si>
  <si>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</si>
  <si>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</si>
  <si>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</si>
  <si>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</si>
  <si>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</si>
  <si>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</si>
  <si>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</si>
  <si>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</si>
  <si>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</si>
  <si>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</si>
  <si>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</si>
  <si>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</si>
  <si>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</si>
  <si>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</si>
  <si>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</si>
  <si>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</si>
  <si>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</si>
  <si>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</si>
  <si>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</si>
  <si>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</si>
  <si>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</si>
  <si>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</si>
  <si>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</si>
  <si>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</si>
  <si>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</si>
  <si>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</si>
  <si>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</si>
  <si>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</si>
  <si>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</si>
  <si>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</si>
  <si>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</si>
  <si>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</si>
  <si>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</si>
  <si>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</si>
  <si>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</si>
  <si>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</si>
  <si>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</si>
  <si>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</si>
  <si>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</si>
  <si>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</si>
  <si>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</si>
  <si>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</si>
  <si>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</si>
  <si>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</si>
  <si>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</si>
  <si>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</si>
  <si>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</si>
  <si>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</si>
  <si>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</si>
  <si>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</si>
  <si>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</si>
  <si>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</si>
  <si>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</si>
  <si>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</si>
  <si>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</si>
  <si>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</si>
  <si>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</si>
  <si>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</si>
  <si>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</si>
  <si>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</si>
  <si>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</si>
  <si>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</si>
  <si>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</si>
  <si>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</si>
  <si>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</si>
  <si>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</si>
  <si>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</si>
  <si>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</si>
  <si>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</si>
  <si>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</si>
  <si>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</si>
  <si>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</si>
  <si>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</si>
  <si>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</si>
  <si>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</si>
  <si>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</si>
  <si>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</si>
  <si>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</si>
  <si>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</si>
  <si>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</si>
  <si>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</si>
  <si>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</si>
  <si>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</si>
  <si>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</si>
  <si>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</si>
  <si>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</si>
  <si>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</si>
  <si>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</si>
  <si>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</si>
  <si>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</si>
  <si>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</si>
  <si>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</si>
  <si>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</si>
  <si>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</si>
  <si>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</si>
  <si>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</si>
  <si>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</si>
  <si>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</si>
  <si>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</si>
  <si>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</si>
  <si>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</si>
  <si>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</si>
  <si>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</si>
  <si>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</si>
  <si>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</si>
  <si>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</si>
  <si>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</si>
  <si>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</si>
  <si>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</si>
  <si>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</si>
  <si>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</si>
  <si>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</si>
  <si>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</si>
  <si>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</si>
  <si>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</si>
  <si>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</si>
  <si>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</si>
  <si>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</si>
  <si>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</si>
  <si>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</si>
  <si>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</si>
  <si>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</si>
  <si>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</si>
  <si>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</si>
  <si>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</si>
  <si>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</si>
  <si>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</si>
  <si>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</si>
  <si>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</si>
  <si>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</si>
  <si>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</si>
  <si>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</si>
  <si>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</si>
  <si>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</si>
  <si>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</si>
  <si>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</si>
  <si>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</si>
  <si>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</si>
  <si>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</si>
  <si>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</si>
  <si>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</si>
  <si>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</si>
  <si>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</si>
  <si>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</si>
  <si>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</si>
  <si>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</si>
  <si>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</si>
  <si>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</si>
  <si>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</si>
  <si>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</si>
  <si>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</si>
  <si>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</si>
  <si>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</si>
  <si>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</si>
  <si>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</si>
  <si>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</si>
  <si>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</si>
  <si>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</si>
  <si>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</si>
  <si>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</si>
  <si>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</si>
  <si>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</si>
  <si>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</si>
  <si>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</si>
  <si>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</si>
  <si>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</si>
  <si>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</si>
  <si>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</si>
  <si>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</si>
  <si>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</si>
  <si>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</si>
  <si>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</si>
  <si>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</si>
  <si>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</si>
  <si>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</si>
  <si>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</si>
  <si>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</si>
  <si>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</si>
  <si>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</si>
  <si>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</si>
  <si>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</si>
  <si>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</si>
  <si>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</si>
  <si>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</si>
  <si>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</si>
  <si>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</si>
  <si>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</si>
  <si>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</si>
  <si>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</si>
  <si>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</si>
  <si>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</si>
  <si>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</si>
  <si>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</si>
  <si>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</si>
  <si>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</si>
  <si>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</si>
  <si>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</si>
  <si>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</si>
  <si>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</si>
  <si>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</si>
  <si>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</si>
  <si>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</si>
  <si>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</si>
  <si>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</si>
  <si>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</si>
  <si>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</si>
  <si>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</si>
  <si>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</si>
  <si>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</si>
  <si>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</si>
  <si>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</si>
  <si>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</si>
  <si>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</si>
  <si>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</si>
  <si>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</si>
  <si>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</si>
  <si>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</si>
  <si>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</si>
  <si>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</si>
  <si>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</si>
  <si>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</si>
  <si>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</si>
  <si>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</si>
  <si>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</si>
  <si>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</si>
  <si>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</si>
  <si>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</si>
  <si>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</si>
  <si>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</si>
  <si>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</si>
  <si>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</si>
  <si>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</si>
  <si>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</si>
  <si>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</si>
  <si>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</si>
  <si>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</si>
  <si>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</si>
  <si>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</si>
  <si>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</si>
  <si>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</si>
  <si>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</si>
  <si>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</si>
  <si>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</si>
  <si>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</si>
  <si>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</si>
  <si>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</si>
  <si>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</si>
  <si>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</si>
  <si>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</si>
  <si>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</si>
  <si>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</si>
  <si>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</si>
  <si>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</si>
  <si>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</si>
  <si>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</si>
  <si>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</si>
  <si>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</si>
  <si>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</si>
  <si>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</si>
  <si>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</si>
  <si>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</si>
  <si>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</si>
  <si>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</si>
  <si>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</si>
  <si>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</si>
  <si>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</si>
  <si>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</si>
  <si>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</si>
  <si>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</si>
  <si>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</si>
  <si>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</si>
  <si>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از حقوق بهمن علی 3 به کارت مسکن یاران مریم ریختم</t>
  </si>
  <si>
    <t>از بن کارت علی 1 به کارت مسکن سیدالشهدا مریم ریختم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</si>
  <si>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</si>
  <si>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</si>
  <si>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</si>
  <si>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</si>
  <si>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</si>
  <si>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</si>
  <si>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</si>
  <si>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</si>
  <si>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</si>
  <si>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</si>
  <si>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</si>
  <si>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واریز وجه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</si>
  <si>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</si>
  <si>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</si>
  <si>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</si>
  <si>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</si>
  <si>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</si>
  <si>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</si>
  <si>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</si>
  <si>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</si>
  <si>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</si>
  <si>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</si>
  <si>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</si>
  <si>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</si>
  <si>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</si>
  <si>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</si>
  <si>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</si>
  <si>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</si>
  <si>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</si>
  <si>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</si>
  <si>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</si>
  <si>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</si>
  <si>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</si>
  <si>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</si>
  <si>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</si>
  <si>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</si>
  <si>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</si>
  <si>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</si>
  <si>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</si>
  <si>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</si>
  <si>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</si>
  <si>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</si>
  <si>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</si>
  <si>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</si>
  <si>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</si>
  <si>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</si>
  <si>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</si>
  <si>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</si>
  <si>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</si>
  <si>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</si>
  <si>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</si>
  <si>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</si>
  <si>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ارزش خرید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</si>
  <si>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</si>
  <si>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</si>
  <si>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</si>
  <si>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</si>
  <si>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</si>
  <si>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</si>
  <si>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</si>
  <si>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</si>
  <si>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</si>
  <si>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</si>
  <si>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</si>
  <si>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</si>
  <si>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</si>
  <si>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</si>
  <si>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</si>
  <si>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</si>
  <si>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</si>
  <si>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</si>
  <si>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</si>
  <si>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</si>
  <si>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</si>
  <si>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</si>
  <si>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</si>
  <si>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</si>
  <si>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</si>
  <si>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</si>
  <si>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</si>
  <si>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</si>
  <si>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</si>
  <si>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</si>
  <si>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</si>
  <si>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</si>
  <si>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</si>
  <si>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</si>
  <si>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</si>
  <si>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</si>
  <si>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</si>
  <si>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</si>
  <si>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</si>
  <si>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</si>
  <si>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از کارت مریم 60 و کارت سارا 27</t>
  </si>
  <si>
    <t>اخزا 604</t>
  </si>
  <si>
    <t>برای تولد کیانا</t>
  </si>
  <si>
    <t>علی به حساب بورس خودش ریخت</t>
  </si>
  <si>
    <t>علی به حساب بوس خودش ریخت</t>
  </si>
  <si>
    <t>بدهی بورسی به مریم</t>
  </si>
  <si>
    <t>طلب بورسی از علی</t>
  </si>
  <si>
    <t>علی 3 و مریم 2.85 حقوق اسفند</t>
  </si>
  <si>
    <t>از حقوق اسفند 3 ریختم به مسکن یاران مریم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</si>
  <si>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</si>
  <si>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</si>
  <si>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</si>
  <si>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</si>
  <si>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</si>
  <si>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</si>
  <si>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</si>
  <si>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</si>
  <si>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</si>
  <si>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</si>
  <si>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</si>
  <si>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</si>
  <si>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</si>
  <si>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</si>
  <si>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</si>
  <si>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</si>
  <si>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</si>
  <si>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</si>
  <si>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</si>
  <si>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از کارت ایلیا 5 و از یاران مریم 5</t>
  </si>
  <si>
    <t>سود روزهای گذشته</t>
  </si>
  <si>
    <t>سود اشاد9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</si>
  <si>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</si>
  <si>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</si>
  <si>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</si>
  <si>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</si>
  <si>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</si>
  <si>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</si>
  <si>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</si>
  <si>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</si>
  <si>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</si>
  <si>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</si>
  <si>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</si>
  <si>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</si>
  <si>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</si>
  <si>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</si>
  <si>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</si>
  <si>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</si>
  <si>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</si>
  <si>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</si>
  <si>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</si>
  <si>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</si>
  <si>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نقدی دادم بابت عیدی دادن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</si>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</sst>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0" borderId="1" xfId="0" applyBorder="1" applyAlignment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164" fontId="0" fillId="18" borderId="1" xfId="0" applyNumberFormat="1" applyFill="1" applyBorder="1" applyAlignment="1">
      <alignment horizontal="center"/>
    </xf>
    <xf numFmtId="0" fontId="0" fillId="0" borderId="0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D33" sqref="D33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31.28515625" bestFit="1" customWidth="1"/>
    <col min="7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919</v>
      </c>
      <c r="B3" s="18">
        <v>0</v>
      </c>
      <c r="C3" s="18">
        <v>0</v>
      </c>
      <c r="D3" s="43">
        <f t="shared" ref="D3:D22" si="0">B3-C3</f>
        <v>0</v>
      </c>
      <c r="E3" s="20" t="s">
        <v>920</v>
      </c>
      <c r="F3">
        <v>0</v>
      </c>
      <c r="G3">
        <f t="shared" ref="G3:G23" si="1">B3*F3</f>
        <v>0</v>
      </c>
      <c r="H3">
        <f t="shared" ref="H3:H23" si="2">C3*F3</f>
        <v>0</v>
      </c>
      <c r="I3">
        <f t="shared" ref="I3:I23" si="3">D3*F3</f>
        <v>0</v>
      </c>
    </row>
    <row r="4" spans="1:17" x14ac:dyDescent="0.25">
      <c r="A4" s="20" t="s">
        <v>933</v>
      </c>
      <c r="B4" s="18">
        <v>0</v>
      </c>
      <c r="C4" s="18">
        <v>0</v>
      </c>
      <c r="D4" s="3">
        <f t="shared" si="0"/>
        <v>0</v>
      </c>
      <c r="E4" s="11" t="s">
        <v>939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30</v>
      </c>
      <c r="Q4">
        <v>31</v>
      </c>
    </row>
    <row r="5" spans="1:17" x14ac:dyDescent="0.25">
      <c r="A5" s="30" t="s">
        <v>960</v>
      </c>
      <c r="B5" s="18">
        <v>0</v>
      </c>
      <c r="C5" s="18">
        <v>0</v>
      </c>
      <c r="D5" s="3">
        <f t="shared" si="0"/>
        <v>0</v>
      </c>
      <c r="E5" s="20" t="s">
        <v>1048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29</v>
      </c>
      <c r="Q5">
        <v>30</v>
      </c>
    </row>
    <row r="6" spans="1:17" x14ac:dyDescent="0.25">
      <c r="A6" s="17" t="s">
        <v>1077</v>
      </c>
      <c r="B6" s="18">
        <v>0</v>
      </c>
      <c r="C6" s="18">
        <v>0</v>
      </c>
      <c r="D6" s="3">
        <f t="shared" si="0"/>
        <v>0</v>
      </c>
      <c r="E6" s="19" t="s">
        <v>1079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252312690</v>
      </c>
      <c r="H25" s="18">
        <f>SUM(H2:H23)</f>
        <v>226539720</v>
      </c>
      <c r="I25" s="18">
        <f>SUM(I2:I23)</f>
        <v>25772970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69126.764383561647</v>
      </c>
      <c r="H30" s="18">
        <f>G30*H25/G25</f>
        <v>62065.676712328765</v>
      </c>
      <c r="I30" s="18">
        <f>G30*I25/G25</f>
        <v>7061.0876712328773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1095</v>
      </c>
      <c r="G31" s="9" t="s">
        <v>1080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1096</v>
      </c>
      <c r="O32">
        <v>29</v>
      </c>
      <c r="P32">
        <v>2</v>
      </c>
      <c r="Q32">
        <v>3</v>
      </c>
    </row>
    <row r="33" spans="4:17" x14ac:dyDescent="0.25">
      <c r="D33" s="42">
        <v>0</v>
      </c>
      <c r="E33" s="41"/>
      <c r="O33">
        <v>30</v>
      </c>
      <c r="P33">
        <v>1</v>
      </c>
      <c r="Q33">
        <v>2</v>
      </c>
    </row>
    <row r="34" spans="4:17" x14ac:dyDescent="0.25">
      <c r="D34" s="42">
        <v>0</v>
      </c>
      <c r="E34" s="41"/>
      <c r="O34">
        <v>31</v>
      </c>
      <c r="P34">
        <v>0</v>
      </c>
      <c r="Q34">
        <v>1</v>
      </c>
    </row>
    <row r="35" spans="4:17" x14ac:dyDescent="0.25">
      <c r="D35" s="42">
        <v>0</v>
      </c>
      <c r="E35" s="41"/>
      <c r="P35" t="s">
        <v>60</v>
      </c>
      <c r="Q35" t="s">
        <v>61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6831422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414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415</v>
      </c>
      <c r="B6" s="18">
        <v>3000000</v>
      </c>
      <c r="C6" s="18">
        <v>3000000</v>
      </c>
      <c r="D6" s="3">
        <f t="shared" si="0"/>
        <v>0</v>
      </c>
      <c r="E6" s="19" t="s">
        <v>413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344</v>
      </c>
      <c r="B7" s="18">
        <v>1120000</v>
      </c>
      <c r="C7" s="18">
        <v>1120000</v>
      </c>
      <c r="D7" s="3">
        <f t="shared" si="0"/>
        <v>0</v>
      </c>
      <c r="E7" s="19" t="s">
        <v>413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-3000000</v>
      </c>
      <c r="C8" s="18">
        <v>0</v>
      </c>
      <c r="D8" s="3">
        <f t="shared" si="0"/>
        <v>-3000000</v>
      </c>
      <c r="E8" s="19" t="s">
        <v>345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406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330</v>
      </c>
    </row>
    <row r="39" spans="4:5" x14ac:dyDescent="0.25">
      <c r="D39" s="7">
        <v>200000</v>
      </c>
      <c r="E39" t="s">
        <v>340</v>
      </c>
    </row>
    <row r="40" spans="4:5" x14ac:dyDescent="0.25">
      <c r="D40" s="7">
        <v>73500</v>
      </c>
      <c r="E40" t="s">
        <v>341</v>
      </c>
    </row>
    <row r="41" spans="4:5" x14ac:dyDescent="0.25">
      <c r="D41" s="7">
        <v>-67000</v>
      </c>
      <c r="E41" t="s">
        <v>342</v>
      </c>
    </row>
    <row r="42" spans="4:5" x14ac:dyDescent="0.25">
      <c r="D42" s="7">
        <v>9000000</v>
      </c>
      <c r="E42" t="s">
        <v>343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404</v>
      </c>
      <c r="B3" s="18">
        <v>90494</v>
      </c>
      <c r="C3" s="18">
        <v>75115</v>
      </c>
      <c r="D3" s="3">
        <f t="shared" ref="D3:D22" si="0">B3-C3</f>
        <v>15379</v>
      </c>
      <c r="E3" s="23" t="s">
        <v>401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410</v>
      </c>
      <c r="B4" s="18">
        <v>-1700700</v>
      </c>
      <c r="C4" s="18">
        <v>0</v>
      </c>
      <c r="D4" s="3">
        <f t="shared" si="0"/>
        <v>-1700700</v>
      </c>
      <c r="E4" s="20" t="s">
        <v>416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428</v>
      </c>
      <c r="B5" s="18">
        <v>-1000500</v>
      </c>
      <c r="C5" s="18">
        <v>0</v>
      </c>
      <c r="D5" s="3">
        <f t="shared" si="0"/>
        <v>-1000500</v>
      </c>
      <c r="E5" s="20" t="s">
        <v>429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440</v>
      </c>
      <c r="B6" s="18">
        <v>20000000</v>
      </c>
      <c r="C6" s="18">
        <v>0</v>
      </c>
      <c r="D6" s="3">
        <f t="shared" si="0"/>
        <v>20000000</v>
      </c>
      <c r="E6" s="19" t="s">
        <v>441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407</v>
      </c>
      <c r="G31" s="9" t="s">
        <v>409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408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417</v>
      </c>
    </row>
    <row r="34" spans="4:7" x14ac:dyDescent="0.25">
      <c r="D34" s="42">
        <v>595000</v>
      </c>
      <c r="E34" s="41" t="s">
        <v>418</v>
      </c>
    </row>
    <row r="35" spans="4:7" x14ac:dyDescent="0.25">
      <c r="D35" s="42">
        <v>-1210000</v>
      </c>
      <c r="E35" s="41" t="s">
        <v>419</v>
      </c>
    </row>
    <row r="36" spans="4:7" x14ac:dyDescent="0.25">
      <c r="D36" s="42">
        <v>-22000000</v>
      </c>
      <c r="E36" s="40" t="s">
        <v>420</v>
      </c>
    </row>
    <row r="37" spans="4:7" x14ac:dyDescent="0.25">
      <c r="D37" s="42">
        <v>3000000</v>
      </c>
      <c r="E37" s="41" t="s">
        <v>421</v>
      </c>
    </row>
    <row r="38" spans="4:7" x14ac:dyDescent="0.25">
      <c r="D38" s="7">
        <v>3000000</v>
      </c>
      <c r="E38" s="41" t="s">
        <v>424</v>
      </c>
      <c r="G38">
        <f>G25*11/36500</f>
        <v>198245.23852054795</v>
      </c>
    </row>
    <row r="39" spans="4:7" x14ac:dyDescent="0.25">
      <c r="D39" s="7">
        <v>-6000000</v>
      </c>
      <c r="E39" s="41" t="s">
        <v>434</v>
      </c>
    </row>
    <row r="40" spans="4:7" x14ac:dyDescent="0.25">
      <c r="D40" s="7">
        <v>6000000</v>
      </c>
      <c r="E40" s="41" t="s">
        <v>438</v>
      </c>
    </row>
    <row r="41" spans="4:7" x14ac:dyDescent="0.25">
      <c r="D41" s="7">
        <v>120000</v>
      </c>
      <c r="E41" s="41" t="s">
        <v>439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446</v>
      </c>
    </row>
    <row r="44" spans="4:7" x14ac:dyDescent="0.25">
      <c r="D44" s="7">
        <v>50000</v>
      </c>
      <c r="E44" s="41" t="s">
        <v>458</v>
      </c>
    </row>
    <row r="45" spans="4:7" x14ac:dyDescent="0.25">
      <c r="D45" s="7">
        <v>-102000</v>
      </c>
      <c r="E45" s="41" t="s">
        <v>464</v>
      </c>
    </row>
    <row r="46" spans="4:7" x14ac:dyDescent="0.25">
      <c r="D46" s="7">
        <v>660000</v>
      </c>
      <c r="E46" s="41" t="s">
        <v>465</v>
      </c>
    </row>
    <row r="47" spans="4:7" x14ac:dyDescent="0.25">
      <c r="D47" s="7">
        <v>1000000</v>
      </c>
      <c r="E47" s="41" t="s">
        <v>468</v>
      </c>
    </row>
    <row r="48" spans="4:7" x14ac:dyDescent="0.25">
      <c r="D48" s="7">
        <v>-509000</v>
      </c>
      <c r="E48" s="41" t="s">
        <v>469</v>
      </c>
    </row>
    <row r="49" spans="4:5" x14ac:dyDescent="0.25">
      <c r="D49" s="7">
        <v>-168500</v>
      </c>
      <c r="E49" s="41" t="s">
        <v>470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1" activePane="bottomLeft" state="frozen"/>
      <selection pane="bottomLeft" activeCell="F149" sqref="F14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484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485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414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415</v>
      </c>
      <c r="B104" s="18">
        <v>3000000</v>
      </c>
      <c r="C104" s="18">
        <v>3000000</v>
      </c>
      <c r="D104" s="3">
        <f t="shared" si="12"/>
        <v>0</v>
      </c>
      <c r="E104" s="19" t="s">
        <v>413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344</v>
      </c>
      <c r="B105" s="18">
        <v>1120000</v>
      </c>
      <c r="C105" s="18">
        <v>1120000</v>
      </c>
      <c r="D105" s="3">
        <f t="shared" si="12"/>
        <v>0</v>
      </c>
      <c r="E105" s="19" t="s">
        <v>413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344</v>
      </c>
      <c r="B106" s="18">
        <v>-3000000</v>
      </c>
      <c r="C106" s="18">
        <v>0</v>
      </c>
      <c r="D106" s="3">
        <f t="shared" si="12"/>
        <v>-3000000</v>
      </c>
      <c r="E106" s="19" t="s">
        <v>345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404</v>
      </c>
      <c r="B107" s="18">
        <v>90494</v>
      </c>
      <c r="C107" s="18">
        <v>75115</v>
      </c>
      <c r="D107" s="3">
        <f t="shared" si="12"/>
        <v>15379</v>
      </c>
      <c r="E107" s="23" t="s">
        <v>401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410</v>
      </c>
      <c r="B108" s="18">
        <v>-1700700</v>
      </c>
      <c r="C108" s="18">
        <v>0</v>
      </c>
      <c r="D108" s="3">
        <f t="shared" si="12"/>
        <v>-1700700</v>
      </c>
      <c r="E108" s="20" t="s">
        <v>416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428</v>
      </c>
      <c r="B109" s="18">
        <v>-1000500</v>
      </c>
      <c r="C109" s="18">
        <v>0</v>
      </c>
      <c r="D109" s="3">
        <f t="shared" si="12"/>
        <v>-1000500</v>
      </c>
      <c r="E109" s="20" t="s">
        <v>429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440</v>
      </c>
      <c r="B110" s="18">
        <v>20000000</v>
      </c>
      <c r="C110" s="18">
        <v>0</v>
      </c>
      <c r="D110" s="3">
        <f t="shared" si="12"/>
        <v>20000000</v>
      </c>
      <c r="E110" s="19" t="s">
        <v>441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491</v>
      </c>
      <c r="B111" s="39">
        <v>174678</v>
      </c>
      <c r="C111" s="39">
        <v>87363</v>
      </c>
      <c r="D111" s="35">
        <f t="shared" si="12"/>
        <v>87315</v>
      </c>
      <c r="E111" s="23" t="s">
        <v>474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496</v>
      </c>
      <c r="B112" s="18">
        <v>-28400000</v>
      </c>
      <c r="C112" s="18">
        <v>0</v>
      </c>
      <c r="D112" s="3">
        <f t="shared" si="12"/>
        <v>-28400000</v>
      </c>
      <c r="E112" s="20" t="s">
        <v>497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510</v>
      </c>
      <c r="B113" s="39">
        <v>163040</v>
      </c>
      <c r="C113" s="39">
        <v>122511</v>
      </c>
      <c r="D113" s="35">
        <f t="shared" si="12"/>
        <v>40529</v>
      </c>
      <c r="E113" s="5" t="s">
        <v>511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510</v>
      </c>
      <c r="B114" s="18">
        <v>-5700</v>
      </c>
      <c r="C114" s="18">
        <v>-2500</v>
      </c>
      <c r="D114" s="3">
        <f t="shared" si="12"/>
        <v>-3200</v>
      </c>
      <c r="E114" s="19" t="s">
        <v>513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527</v>
      </c>
      <c r="B115" s="18">
        <v>0</v>
      </c>
      <c r="C115" s="18">
        <v>500000</v>
      </c>
      <c r="D115" s="3">
        <f t="shared" si="12"/>
        <v>-500000</v>
      </c>
      <c r="E115" s="19" t="s">
        <v>528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533</v>
      </c>
      <c r="B116" s="18">
        <v>-160000</v>
      </c>
      <c r="C116" s="18">
        <v>0</v>
      </c>
      <c r="D116" s="18">
        <f t="shared" si="12"/>
        <v>-160000</v>
      </c>
      <c r="E116" s="11" t="s">
        <v>534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551</v>
      </c>
      <c r="B117" s="39">
        <v>1480</v>
      </c>
      <c r="C117" s="39">
        <v>106941</v>
      </c>
      <c r="D117" s="39">
        <f t="shared" si="12"/>
        <v>-105461</v>
      </c>
      <c r="E117" s="23" t="s">
        <v>552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579</v>
      </c>
      <c r="B118" s="18">
        <v>39399500</v>
      </c>
      <c r="C118" s="18">
        <v>0</v>
      </c>
      <c r="D118" s="18">
        <f t="shared" si="12"/>
        <v>39399500</v>
      </c>
      <c r="E118" s="11" t="s">
        <v>581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585</v>
      </c>
      <c r="B119" s="39">
        <v>95521</v>
      </c>
      <c r="C119" s="39">
        <v>110054</v>
      </c>
      <c r="D119" s="39">
        <f t="shared" si="12"/>
        <v>-14533</v>
      </c>
      <c r="E119" s="23" t="s">
        <v>590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596</v>
      </c>
      <c r="B120" s="18">
        <v>2000000</v>
      </c>
      <c r="C120" s="18">
        <v>0</v>
      </c>
      <c r="D120" s="18">
        <f t="shared" si="12"/>
        <v>2000000</v>
      </c>
      <c r="E120" s="11" t="s">
        <v>597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624</v>
      </c>
      <c r="B121" s="18">
        <v>2600000</v>
      </c>
      <c r="C121" s="18">
        <v>0</v>
      </c>
      <c r="D121" s="18">
        <f t="shared" si="12"/>
        <v>2600000</v>
      </c>
      <c r="E121" s="11" t="s">
        <v>625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628</v>
      </c>
      <c r="B122" s="39">
        <v>384551</v>
      </c>
      <c r="C122" s="39">
        <v>110908</v>
      </c>
      <c r="D122" s="39">
        <f t="shared" si="12"/>
        <v>273643</v>
      </c>
      <c r="E122" s="23" t="s">
        <v>629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637</v>
      </c>
      <c r="B123" s="18">
        <v>0</v>
      </c>
      <c r="C123" s="18">
        <v>800000</v>
      </c>
      <c r="D123" s="18">
        <f t="shared" si="12"/>
        <v>-800000</v>
      </c>
      <c r="E123" s="11" t="s">
        <v>638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655</v>
      </c>
      <c r="B124" s="18">
        <v>-3000000</v>
      </c>
      <c r="C124" s="18">
        <v>0</v>
      </c>
      <c r="D124" s="18">
        <f t="shared" si="12"/>
        <v>-3000000</v>
      </c>
      <c r="E124" s="11" t="s">
        <v>657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631</v>
      </c>
      <c r="B125" s="18">
        <v>400710</v>
      </c>
      <c r="C125" s="18">
        <v>118875</v>
      </c>
      <c r="D125" s="18">
        <f t="shared" si="12"/>
        <v>281835</v>
      </c>
      <c r="E125" s="11" t="s">
        <v>670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631</v>
      </c>
      <c r="B126" s="18">
        <v>42000000</v>
      </c>
      <c r="C126" s="18">
        <v>0</v>
      </c>
      <c r="D126" s="18">
        <f t="shared" si="12"/>
        <v>42000000</v>
      </c>
      <c r="E126" s="11" t="s">
        <v>498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695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632</v>
      </c>
      <c r="B128" s="18">
        <v>771374</v>
      </c>
      <c r="C128" s="18">
        <v>120697</v>
      </c>
      <c r="D128" s="18">
        <f t="shared" si="12"/>
        <v>650677</v>
      </c>
      <c r="E128" s="11" t="s">
        <v>697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707</v>
      </c>
      <c r="B129" s="18">
        <v>2500000</v>
      </c>
      <c r="C129" s="18">
        <v>0</v>
      </c>
      <c r="D129" s="18">
        <f t="shared" si="12"/>
        <v>2500000</v>
      </c>
      <c r="E129" s="11" t="s">
        <v>708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723</v>
      </c>
      <c r="B130" s="18">
        <v>-1000000</v>
      </c>
      <c r="C130" s="18">
        <v>-1000000</v>
      </c>
      <c r="D130" s="18">
        <f t="shared" si="12"/>
        <v>0</v>
      </c>
      <c r="E130" s="11" t="s">
        <v>744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727</v>
      </c>
      <c r="B131" s="18">
        <v>-50000000</v>
      </c>
      <c r="C131" s="18">
        <v>0</v>
      </c>
      <c r="D131" s="18">
        <f t="shared" si="12"/>
        <v>-50000000</v>
      </c>
      <c r="E131" s="11" t="s">
        <v>728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633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752</v>
      </c>
      <c r="B133" s="18">
        <v>-1210700</v>
      </c>
      <c r="C133" s="18">
        <v>0</v>
      </c>
      <c r="D133" s="18">
        <f t="shared" si="12"/>
        <v>-1210700</v>
      </c>
      <c r="E133" s="11" t="s">
        <v>753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769</v>
      </c>
      <c r="B134" s="18">
        <v>-65000</v>
      </c>
      <c r="C134" s="18">
        <v>0</v>
      </c>
      <c r="D134" s="18">
        <f t="shared" si="12"/>
        <v>-65000</v>
      </c>
      <c r="E134" s="11" t="s">
        <v>772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769</v>
      </c>
      <c r="B135" s="18">
        <v>-32300</v>
      </c>
      <c r="C135" s="18">
        <v>0</v>
      </c>
      <c r="D135" s="18">
        <f t="shared" si="12"/>
        <v>-32300</v>
      </c>
      <c r="E135" s="11" t="s">
        <v>773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780</v>
      </c>
      <c r="B136" s="18">
        <v>-1000000</v>
      </c>
      <c r="C136" s="18">
        <v>-1000000</v>
      </c>
      <c r="D136" s="18">
        <f t="shared" si="12"/>
        <v>0</v>
      </c>
      <c r="E136" s="11" t="s">
        <v>781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634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808</v>
      </c>
      <c r="B138" s="18">
        <v>-1000500</v>
      </c>
      <c r="C138" s="18">
        <v>-1000500</v>
      </c>
      <c r="D138" s="18">
        <f t="shared" si="12"/>
        <v>0</v>
      </c>
      <c r="E138" s="11" t="s">
        <v>809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829</v>
      </c>
      <c r="B139" s="18">
        <v>282240</v>
      </c>
      <c r="C139" s="18">
        <v>88807</v>
      </c>
      <c r="D139" s="18">
        <f t="shared" si="12"/>
        <v>193433</v>
      </c>
      <c r="E139" s="11" t="s">
        <v>832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834</v>
      </c>
      <c r="B140" s="18">
        <v>1500000</v>
      </c>
      <c r="C140" s="18">
        <v>0</v>
      </c>
      <c r="D140" s="18">
        <f t="shared" si="12"/>
        <v>1500000</v>
      </c>
      <c r="E140" s="11" t="s">
        <v>835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857</v>
      </c>
      <c r="B141" s="18">
        <v>0</v>
      </c>
      <c r="C141" s="18">
        <v>-1000000</v>
      </c>
      <c r="D141" s="18">
        <f t="shared" si="12"/>
        <v>1000000</v>
      </c>
      <c r="E141" s="11" t="s">
        <v>856</v>
      </c>
      <c r="F141" s="11">
        <v>14</v>
      </c>
      <c r="G141" s="36">
        <f t="shared" si="17"/>
        <v>14</v>
      </c>
      <c r="H141" s="11">
        <f t="shared" si="14"/>
        <v>0</v>
      </c>
      <c r="I141" s="11">
        <f t="shared" si="13"/>
        <v>0</v>
      </c>
      <c r="J141" s="11">
        <f t="shared" si="15"/>
        <v>-14000000</v>
      </c>
      <c r="K141" s="11">
        <f t="shared" si="16"/>
        <v>14000000</v>
      </c>
    </row>
    <row r="142" spans="1:13" x14ac:dyDescent="0.25">
      <c r="A142" s="11" t="s">
        <v>870</v>
      </c>
      <c r="B142" s="18">
        <v>290893</v>
      </c>
      <c r="C142" s="18">
        <v>81022</v>
      </c>
      <c r="D142" s="18">
        <f t="shared" si="12"/>
        <v>209871</v>
      </c>
      <c r="E142" s="11" t="s">
        <v>876</v>
      </c>
      <c r="F142" s="11">
        <v>20</v>
      </c>
      <c r="G142" s="36">
        <f t="shared" si="17"/>
        <v>20</v>
      </c>
      <c r="H142" s="11">
        <f t="shared" si="14"/>
        <v>1</v>
      </c>
      <c r="I142" s="11">
        <f t="shared" si="13"/>
        <v>5526967</v>
      </c>
      <c r="J142" s="11">
        <f t="shared" si="15"/>
        <v>1539418</v>
      </c>
      <c r="K142" s="11">
        <f t="shared" si="16"/>
        <v>3987549</v>
      </c>
    </row>
    <row r="143" spans="1:13" x14ac:dyDescent="0.25">
      <c r="A143" s="11" t="s">
        <v>899</v>
      </c>
      <c r="B143" s="18">
        <v>0</v>
      </c>
      <c r="C143" s="18">
        <v>-1000000</v>
      </c>
      <c r="D143" s="18">
        <f t="shared" si="12"/>
        <v>1000000</v>
      </c>
      <c r="E143" s="11" t="s">
        <v>903</v>
      </c>
      <c r="F143" s="11">
        <v>10</v>
      </c>
      <c r="G143" s="36">
        <f t="shared" si="17"/>
        <v>10</v>
      </c>
      <c r="H143" s="11">
        <f t="shared" si="14"/>
        <v>0</v>
      </c>
      <c r="I143" s="11">
        <f t="shared" si="13"/>
        <v>0</v>
      </c>
      <c r="J143" s="11">
        <f t="shared" si="15"/>
        <v>-10000000</v>
      </c>
      <c r="K143" s="11">
        <f t="shared" si="16"/>
        <v>10000000</v>
      </c>
      <c r="M143" t="s">
        <v>25</v>
      </c>
    </row>
    <row r="144" spans="1:13" x14ac:dyDescent="0.25">
      <c r="A144" s="11" t="s">
        <v>908</v>
      </c>
      <c r="B144" s="18">
        <v>294852</v>
      </c>
      <c r="C144" s="18">
        <v>74657</v>
      </c>
      <c r="D144" s="18">
        <f t="shared" si="12"/>
        <v>220195</v>
      </c>
      <c r="E144" s="11" t="s">
        <v>401</v>
      </c>
      <c r="F144" s="11">
        <v>15</v>
      </c>
      <c r="G144" s="36">
        <f t="shared" si="17"/>
        <v>15</v>
      </c>
      <c r="H144" s="11">
        <f t="shared" si="14"/>
        <v>1</v>
      </c>
      <c r="I144" s="11">
        <f t="shared" si="13"/>
        <v>4127928</v>
      </c>
      <c r="J144" s="11">
        <f t="shared" si="15"/>
        <v>1045198</v>
      </c>
      <c r="K144" s="11">
        <f t="shared" si="16"/>
        <v>3082730</v>
      </c>
    </row>
    <row r="145" spans="1:11" x14ac:dyDescent="0.25">
      <c r="A145" s="11" t="s">
        <v>933</v>
      </c>
      <c r="B145" s="18">
        <v>-10000</v>
      </c>
      <c r="C145" s="18">
        <v>-5000</v>
      </c>
      <c r="D145" s="18">
        <f t="shared" si="12"/>
        <v>-5000</v>
      </c>
      <c r="E145" s="74" t="s">
        <v>939</v>
      </c>
      <c r="F145" s="11">
        <v>5</v>
      </c>
      <c r="G145" s="36">
        <f t="shared" si="17"/>
        <v>5</v>
      </c>
      <c r="H145" s="11">
        <f t="shared" si="14"/>
        <v>0</v>
      </c>
      <c r="I145" s="11">
        <f t="shared" si="13"/>
        <v>-50000</v>
      </c>
      <c r="J145" s="11">
        <f t="shared" si="15"/>
        <v>-25000</v>
      </c>
      <c r="K145" s="11">
        <f t="shared" si="16"/>
        <v>-25000</v>
      </c>
    </row>
    <row r="146" spans="1:11" x14ac:dyDescent="0.25">
      <c r="A146" s="11" t="s">
        <v>919</v>
      </c>
      <c r="B146" s="18">
        <v>-1000500</v>
      </c>
      <c r="C146" s="18">
        <v>-1000500</v>
      </c>
      <c r="D146" s="18">
        <f t="shared" si="12"/>
        <v>0</v>
      </c>
      <c r="E146" s="11" t="s">
        <v>920</v>
      </c>
      <c r="F146" s="11">
        <v>6</v>
      </c>
      <c r="G146" s="36">
        <f t="shared" si="17"/>
        <v>6</v>
      </c>
      <c r="H146" s="11">
        <f t="shared" si="14"/>
        <v>0</v>
      </c>
      <c r="I146" s="11">
        <f t="shared" si="13"/>
        <v>-6003000</v>
      </c>
      <c r="J146" s="11">
        <f t="shared" si="15"/>
        <v>-6003000</v>
      </c>
      <c r="K146" s="11">
        <f t="shared" si="16"/>
        <v>0</v>
      </c>
    </row>
    <row r="147" spans="1:11" x14ac:dyDescent="0.25">
      <c r="A147" s="11" t="s">
        <v>960</v>
      </c>
      <c r="B147" s="18">
        <v>-27000000</v>
      </c>
      <c r="C147" s="18">
        <v>0</v>
      </c>
      <c r="D147" s="18">
        <f t="shared" si="12"/>
        <v>-27000000</v>
      </c>
      <c r="E147" s="11" t="s">
        <v>1047</v>
      </c>
      <c r="F147" s="11">
        <v>3</v>
      </c>
      <c r="G147" s="36">
        <f t="shared" si="17"/>
        <v>3</v>
      </c>
      <c r="H147" s="11">
        <f t="shared" si="14"/>
        <v>0</v>
      </c>
      <c r="I147" s="11">
        <f t="shared" si="13"/>
        <v>-81000000</v>
      </c>
      <c r="J147" s="11">
        <f t="shared" si="15"/>
        <v>0</v>
      </c>
      <c r="K147" s="11">
        <f t="shared" si="16"/>
        <v>-81000000</v>
      </c>
    </row>
    <row r="148" spans="1:11" x14ac:dyDescent="0.25">
      <c r="A148" s="11" t="s">
        <v>1077</v>
      </c>
      <c r="B148" s="18">
        <v>252436</v>
      </c>
      <c r="C148" s="18">
        <v>65510</v>
      </c>
      <c r="D148" s="18">
        <f t="shared" si="12"/>
        <v>186926</v>
      </c>
      <c r="E148" s="11" t="s">
        <v>1079</v>
      </c>
      <c r="F148" s="11">
        <v>1</v>
      </c>
      <c r="G148" s="36">
        <f t="shared" si="17"/>
        <v>1</v>
      </c>
      <c r="H148" s="11">
        <f t="shared" si="14"/>
        <v>1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>
        <f t="shared" ref="D149:D153" si="18">B149-C149</f>
        <v>0</v>
      </c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>
        <f t="shared" si="18"/>
        <v>0</v>
      </c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>
        <f t="shared" si="18"/>
        <v>0</v>
      </c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>
        <f t="shared" si="18"/>
        <v>0</v>
      </c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>
        <f t="shared" si="18"/>
        <v>0</v>
      </c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8410063</v>
      </c>
      <c r="C156" s="29">
        <f>SUM(C2:C154)</f>
        <v>7551324</v>
      </c>
      <c r="D156" s="29">
        <f>SUM(D2:D154)</f>
        <v>858739</v>
      </c>
      <c r="E156" s="11"/>
      <c r="F156" s="11"/>
      <c r="G156" s="11"/>
      <c r="H156" s="11"/>
      <c r="I156" s="29">
        <f>SUM(I2:I155)</f>
        <v>15057327732</v>
      </c>
      <c r="J156" s="29">
        <f>SUM(J2:J155)</f>
        <v>5923534667</v>
      </c>
      <c r="K156" s="29">
        <f>SUM(K2:K155)</f>
        <v>9133793065</v>
      </c>
    </row>
    <row r="157" spans="1:11" x14ac:dyDescent="0.25">
      <c r="A157" s="11"/>
      <c r="B157" s="11" t="s">
        <v>283</v>
      </c>
      <c r="C157" s="11" t="s">
        <v>489</v>
      </c>
      <c r="D157" s="11" t="s">
        <v>490</v>
      </c>
      <c r="E157" s="11"/>
      <c r="F157" s="11"/>
      <c r="G157" s="11"/>
      <c r="H157" s="11"/>
      <c r="I157" s="11" t="s">
        <v>486</v>
      </c>
      <c r="J157" s="11" t="s">
        <v>487</v>
      </c>
      <c r="K157" s="11" t="s">
        <v>488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24169065.380417336</v>
      </c>
      <c r="J159" s="29">
        <f>J156/G2</f>
        <v>9508081.3274478335</v>
      </c>
      <c r="K159" s="29">
        <f>K156/G2</f>
        <v>14660984.052969502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492</v>
      </c>
      <c r="J160" s="11" t="s">
        <v>493</v>
      </c>
      <c r="K160" s="11" t="s">
        <v>494</v>
      </c>
    </row>
    <row r="163" spans="2:11" ht="30" x14ac:dyDescent="0.25">
      <c r="B163" s="22" t="s">
        <v>875</v>
      </c>
      <c r="J163">
        <f>J156/I156*1448696</f>
        <v>569915.26854442724</v>
      </c>
      <c r="K163">
        <f>K156/I156*1448696</f>
        <v>878780.73145557276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491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474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496</v>
      </c>
      <c r="B4" s="18">
        <v>-28400000</v>
      </c>
      <c r="C4" s="18">
        <v>0</v>
      </c>
      <c r="D4" s="3">
        <f t="shared" si="0"/>
        <v>-28400000</v>
      </c>
      <c r="E4" s="20" t="s">
        <v>497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428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440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482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504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510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514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510</v>
      </c>
      <c r="B4" s="18">
        <v>-5700</v>
      </c>
      <c r="C4" s="18">
        <v>-2500</v>
      </c>
      <c r="D4" s="3">
        <f t="shared" si="0"/>
        <v>-3200</v>
      </c>
      <c r="E4" s="19" t="s">
        <v>513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527</v>
      </c>
      <c r="B5" s="18">
        <v>0</v>
      </c>
      <c r="C5" s="18">
        <v>500000</v>
      </c>
      <c r="D5" s="3">
        <f t="shared" si="0"/>
        <v>-500000</v>
      </c>
      <c r="E5" s="20" t="s">
        <v>528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533</v>
      </c>
      <c r="B6" s="18">
        <v>-160000</v>
      </c>
      <c r="C6" s="18">
        <v>0</v>
      </c>
      <c r="D6" s="3">
        <f t="shared" si="0"/>
        <v>-160000</v>
      </c>
      <c r="E6" s="20" t="s">
        <v>534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344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529</v>
      </c>
      <c r="G32" s="9" t="s">
        <v>409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530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531</v>
      </c>
    </row>
    <row r="35" spans="2:17" x14ac:dyDescent="0.25">
      <c r="D35" s="42">
        <v>5000</v>
      </c>
      <c r="E35" s="41" t="s">
        <v>530</v>
      </c>
    </row>
    <row r="36" spans="2:17" x14ac:dyDescent="0.25">
      <c r="D36" s="42">
        <v>-800000</v>
      </c>
      <c r="E36" s="41" t="s">
        <v>532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536</v>
      </c>
    </row>
    <row r="39" spans="2:17" x14ac:dyDescent="0.25">
      <c r="D39" s="7">
        <v>200000</v>
      </c>
      <c r="E39" s="41" t="s">
        <v>537</v>
      </c>
    </row>
    <row r="40" spans="2:17" x14ac:dyDescent="0.25">
      <c r="D40" s="7">
        <v>255000</v>
      </c>
      <c r="E40" s="41" t="s">
        <v>542</v>
      </c>
    </row>
    <row r="41" spans="2:17" x14ac:dyDescent="0.25">
      <c r="D41" s="7">
        <v>-200000</v>
      </c>
      <c r="E41" s="41" t="s">
        <v>543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544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551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554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578</v>
      </c>
      <c r="B4" s="18">
        <v>39399500</v>
      </c>
      <c r="C4" s="18">
        <v>0</v>
      </c>
      <c r="D4" s="3">
        <f t="shared" si="0"/>
        <v>39399500</v>
      </c>
      <c r="E4" s="20" t="s">
        <v>581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556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557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558</v>
      </c>
    </row>
    <row r="35" spans="4:17" x14ac:dyDescent="0.25">
      <c r="D35" s="42">
        <v>200000</v>
      </c>
      <c r="E35" s="41" t="s">
        <v>563</v>
      </c>
    </row>
    <row r="36" spans="4:17" x14ac:dyDescent="0.25">
      <c r="D36" s="42">
        <v>1000000</v>
      </c>
      <c r="E36" s="41" t="s">
        <v>577</v>
      </c>
    </row>
    <row r="37" spans="4:17" x14ac:dyDescent="0.25">
      <c r="D37" s="7">
        <v>600000</v>
      </c>
      <c r="E37" s="41" t="s">
        <v>582</v>
      </c>
    </row>
    <row r="38" spans="4:17" x14ac:dyDescent="0.25">
      <c r="D38" s="7">
        <v>-40000</v>
      </c>
      <c r="E38" s="41" t="s">
        <v>587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585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596</v>
      </c>
      <c r="B4" s="18">
        <v>2000000</v>
      </c>
      <c r="C4" s="18">
        <v>0</v>
      </c>
      <c r="D4" s="3">
        <f t="shared" si="0"/>
        <v>2000000</v>
      </c>
      <c r="E4" s="20" t="s">
        <v>597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624</v>
      </c>
      <c r="B5" s="18">
        <v>2600000</v>
      </c>
      <c r="C5" s="18">
        <v>0</v>
      </c>
      <c r="D5" s="3">
        <f t="shared" si="0"/>
        <v>2600000</v>
      </c>
      <c r="E5" s="20" t="s">
        <v>625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598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605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615</v>
      </c>
    </row>
    <row r="35" spans="4:17" x14ac:dyDescent="0.25">
      <c r="D35" s="42">
        <v>200000</v>
      </c>
      <c r="E35" s="41" t="s">
        <v>619</v>
      </c>
    </row>
    <row r="36" spans="4:17" x14ac:dyDescent="0.25">
      <c r="D36" s="42">
        <v>-120000</v>
      </c>
      <c r="E36" s="41" t="s">
        <v>620</v>
      </c>
    </row>
    <row r="37" spans="4:17" x14ac:dyDescent="0.25">
      <c r="D37" s="7">
        <v>200000</v>
      </c>
      <c r="E37" s="41" t="s">
        <v>621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624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628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629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637</v>
      </c>
      <c r="B4" s="18">
        <v>0</v>
      </c>
      <c r="C4" s="18">
        <v>800000</v>
      </c>
      <c r="D4" s="3">
        <f t="shared" si="0"/>
        <v>-800000</v>
      </c>
      <c r="E4" s="11" t="s">
        <v>638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655</v>
      </c>
      <c r="B5" s="18">
        <v>-3000000</v>
      </c>
      <c r="C5" s="18">
        <v>0</v>
      </c>
      <c r="D5" s="3">
        <f t="shared" si="0"/>
        <v>-3000000</v>
      </c>
      <c r="E5" s="20" t="s">
        <v>657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636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644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645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647</v>
      </c>
    </row>
    <row r="35" spans="4:17" x14ac:dyDescent="0.25">
      <c r="D35" s="42">
        <v>27470</v>
      </c>
      <c r="E35" s="41" t="s">
        <v>654</v>
      </c>
    </row>
    <row r="36" spans="4:17" x14ac:dyDescent="0.25">
      <c r="D36" s="42">
        <v>334000</v>
      </c>
      <c r="E36" s="41" t="s">
        <v>661</v>
      </c>
    </row>
    <row r="37" spans="4:17" x14ac:dyDescent="0.25">
      <c r="D37" s="7">
        <v>400000</v>
      </c>
      <c r="E37" s="41" t="s">
        <v>667</v>
      </c>
    </row>
    <row r="38" spans="4:17" x14ac:dyDescent="0.25">
      <c r="D38" s="7">
        <v>200000</v>
      </c>
      <c r="E38" s="41" t="s">
        <v>672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631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671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631</v>
      </c>
      <c r="B4" s="18">
        <v>42000000</v>
      </c>
      <c r="C4" s="18">
        <v>0</v>
      </c>
      <c r="D4" s="3">
        <f t="shared" si="0"/>
        <v>42000000</v>
      </c>
      <c r="E4" s="11" t="s">
        <v>498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674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679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683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690</v>
      </c>
    </row>
    <row r="35" spans="4:17" x14ac:dyDescent="0.25">
      <c r="D35" s="42">
        <v>141950</v>
      </c>
      <c r="E35" s="41" t="s">
        <v>691</v>
      </c>
    </row>
    <row r="36" spans="4:17" x14ac:dyDescent="0.25">
      <c r="D36" s="42">
        <v>800500</v>
      </c>
      <c r="E36" s="41" t="s">
        <v>694</v>
      </c>
    </row>
    <row r="37" spans="4:17" x14ac:dyDescent="0.25">
      <c r="D37" s="7">
        <v>-100000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632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696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707</v>
      </c>
      <c r="B4" s="18">
        <v>2500000</v>
      </c>
      <c r="C4" s="18">
        <v>0</v>
      </c>
      <c r="D4" s="3">
        <f t="shared" si="0"/>
        <v>2500000</v>
      </c>
      <c r="E4" s="11" t="s">
        <v>708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723</v>
      </c>
      <c r="B5" s="18">
        <v>-1000000</v>
      </c>
      <c r="C5" s="18">
        <v>-1000000</v>
      </c>
      <c r="D5" s="3">
        <f t="shared" si="0"/>
        <v>0</v>
      </c>
      <c r="E5" s="20" t="s">
        <v>744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727</v>
      </c>
      <c r="B6" s="18">
        <v>-50000000</v>
      </c>
      <c r="C6" s="18">
        <v>0</v>
      </c>
      <c r="D6" s="3">
        <f t="shared" si="0"/>
        <v>-50000000</v>
      </c>
      <c r="E6" s="19" t="s">
        <v>728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701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729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683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690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691</v>
      </c>
    </row>
    <row r="36" spans="4:17" x14ac:dyDescent="0.25">
      <c r="D36" s="42">
        <v>0</v>
      </c>
      <c r="E36" s="41" t="s">
        <v>694</v>
      </c>
    </row>
    <row r="37" spans="4:17" x14ac:dyDescent="0.25">
      <c r="D37" s="7">
        <v>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738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633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743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752</v>
      </c>
      <c r="B4" s="18">
        <v>-1210700</v>
      </c>
      <c r="C4" s="18">
        <v>0</v>
      </c>
      <c r="D4" s="3">
        <f t="shared" si="0"/>
        <v>-1210700</v>
      </c>
      <c r="E4" s="11" t="s">
        <v>753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-97300</v>
      </c>
      <c r="C5" s="18">
        <v>0</v>
      </c>
      <c r="D5" s="3">
        <f t="shared" si="0"/>
        <v>-97300</v>
      </c>
      <c r="E5" s="20" t="s">
        <v>774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-1000000</v>
      </c>
      <c r="C6" s="18">
        <v>-1000000</v>
      </c>
      <c r="D6" s="3">
        <f t="shared" si="0"/>
        <v>0</v>
      </c>
      <c r="E6" s="19" t="s">
        <v>781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754</v>
      </c>
      <c r="G31" s="9" t="s">
        <v>784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764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634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808</v>
      </c>
      <c r="B4" s="18">
        <v>-1000500</v>
      </c>
      <c r="C4" s="18">
        <v>-1000500</v>
      </c>
      <c r="D4" s="3">
        <f t="shared" si="0"/>
        <v>0</v>
      </c>
      <c r="E4" s="11" t="s">
        <v>809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829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834</v>
      </c>
      <c r="B3" s="18">
        <v>1500000</v>
      </c>
      <c r="C3" s="18">
        <v>0</v>
      </c>
      <c r="D3" s="43">
        <f t="shared" ref="D3:D22" si="0">B3-C3</f>
        <v>1500000</v>
      </c>
      <c r="E3" s="20" t="s">
        <v>835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855</v>
      </c>
      <c r="B4" s="18">
        <v>0</v>
      </c>
      <c r="C4" s="18">
        <v>-1000000</v>
      </c>
      <c r="D4" s="3">
        <f t="shared" si="0"/>
        <v>1000000</v>
      </c>
      <c r="E4" s="11" t="s">
        <v>856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870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843</v>
      </c>
      <c r="G31" s="9" t="s">
        <v>910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844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851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853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854</v>
      </c>
    </row>
    <row r="36" spans="4:17" x14ac:dyDescent="0.25">
      <c r="D36" s="42">
        <v>-10000</v>
      </c>
      <c r="E36" s="41" t="s">
        <v>864</v>
      </c>
    </row>
    <row r="37" spans="4:17" x14ac:dyDescent="0.25">
      <c r="D37" s="7">
        <v>-180000</v>
      </c>
      <c r="E37" s="41" t="s">
        <v>869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99" activePane="bottomLeft" state="frozen"/>
      <selection pane="bottomLeft" activeCell="D112" sqref="D112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476</v>
      </c>
      <c r="F2" s="11">
        <f>IF(B2&gt;0,1,0)</f>
        <v>1</v>
      </c>
      <c r="G2" s="11">
        <f>B2*(E2-F2)</f>
        <v>23750000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472</v>
      </c>
      <c r="F3" s="11">
        <f t="shared" ref="F3:F38" si="1">IF(B3&gt;0,1,0)</f>
        <v>1</v>
      </c>
      <c r="G3" s="11">
        <f t="shared" ref="G3:G23" si="2">B3*(E3-F3)</f>
        <v>1413000000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471</v>
      </c>
      <c r="F4" s="11">
        <f t="shared" si="1"/>
        <v>1</v>
      </c>
      <c r="G4" s="11">
        <f t="shared" si="2"/>
        <v>1410000000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471</v>
      </c>
      <c r="F5" s="11">
        <f t="shared" si="1"/>
        <v>1</v>
      </c>
      <c r="G5" s="11">
        <f t="shared" si="2"/>
        <v>7050000000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470</v>
      </c>
      <c r="F6" s="11">
        <f t="shared" si="1"/>
        <v>1</v>
      </c>
      <c r="G6" s="11">
        <f t="shared" si="2"/>
        <v>1407000000</v>
      </c>
      <c r="K6" t="s">
        <v>288</v>
      </c>
      <c r="L6" s="34">
        <v>410023079974</v>
      </c>
      <c r="M6" s="33" t="s">
        <v>873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469</v>
      </c>
      <c r="F7" s="11">
        <f t="shared" si="1"/>
        <v>0</v>
      </c>
      <c r="G7" s="11">
        <f t="shared" si="2"/>
        <v>-1407000000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469</v>
      </c>
      <c r="F8" s="11">
        <f t="shared" si="1"/>
        <v>0</v>
      </c>
      <c r="G8" s="11">
        <f t="shared" si="2"/>
        <v>-93800000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469</v>
      </c>
      <c r="F9" s="11">
        <f t="shared" si="1"/>
        <v>1</v>
      </c>
      <c r="G9" s="11">
        <f>B9*(E9-F9)</f>
        <v>1404000000</v>
      </c>
      <c r="K9" t="s">
        <v>291</v>
      </c>
      <c r="L9" s="34">
        <v>410021971552</v>
      </c>
      <c r="M9" s="33" t="s">
        <v>699</v>
      </c>
      <c r="N9" t="s">
        <v>700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468</v>
      </c>
      <c r="F10" s="11">
        <f t="shared" si="1"/>
        <v>1</v>
      </c>
      <c r="G10" s="11">
        <f t="shared" si="2"/>
        <v>1401000000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468</v>
      </c>
      <c r="F11" s="11">
        <f t="shared" si="1"/>
        <v>1</v>
      </c>
      <c r="G11" s="11">
        <f t="shared" si="2"/>
        <v>11675000000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465</v>
      </c>
      <c r="F12" s="11">
        <f t="shared" si="1"/>
        <v>1</v>
      </c>
      <c r="G12" s="11">
        <f t="shared" si="2"/>
        <v>463225120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465</v>
      </c>
      <c r="F13" s="11">
        <f t="shared" si="1"/>
        <v>1</v>
      </c>
      <c r="G13" s="11">
        <f t="shared" si="2"/>
        <v>1392000000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465</v>
      </c>
      <c r="F14" s="11">
        <f t="shared" si="1"/>
        <v>1</v>
      </c>
      <c r="G14" s="11">
        <f t="shared" si="2"/>
        <v>552668544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453</v>
      </c>
      <c r="F15" s="11">
        <f t="shared" si="1"/>
        <v>1</v>
      </c>
      <c r="G15" s="11">
        <f t="shared" si="2"/>
        <v>904000000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441</v>
      </c>
      <c r="F16" s="11">
        <f t="shared" si="1"/>
        <v>1</v>
      </c>
      <c r="G16" s="11">
        <f t="shared" si="2"/>
        <v>1320000000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440</v>
      </c>
      <c r="F17" s="11">
        <f t="shared" si="1"/>
        <v>1</v>
      </c>
      <c r="G17" s="11">
        <f t="shared" si="2"/>
        <v>1317000000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439</v>
      </c>
      <c r="F18" s="11">
        <f t="shared" si="1"/>
        <v>1</v>
      </c>
      <c r="G18" s="11">
        <f t="shared" si="2"/>
        <v>832200000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424</v>
      </c>
      <c r="F19" s="11">
        <f t="shared" si="1"/>
        <v>1</v>
      </c>
      <c r="G19" s="11">
        <f t="shared" si="2"/>
        <v>340308999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423</v>
      </c>
      <c r="F20" s="11">
        <f t="shared" si="1"/>
        <v>1</v>
      </c>
      <c r="G20" s="11">
        <f t="shared" si="2"/>
        <v>1266000000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417</v>
      </c>
      <c r="F21" s="11">
        <f t="shared" si="1"/>
        <v>1</v>
      </c>
      <c r="G21" s="11">
        <f t="shared" si="2"/>
        <v>208000000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344</v>
      </c>
      <c r="B22" s="38">
        <v>-3000000</v>
      </c>
      <c r="C22" s="11" t="s">
        <v>345</v>
      </c>
      <c r="D22" s="11">
        <v>8</v>
      </c>
      <c r="E22" s="11">
        <f t="shared" si="0"/>
        <v>403</v>
      </c>
      <c r="F22" s="11">
        <f t="shared" si="1"/>
        <v>0</v>
      </c>
      <c r="G22" s="11">
        <f t="shared" si="2"/>
        <v>-1209000000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404</v>
      </c>
      <c r="B23" s="38">
        <v>3000000</v>
      </c>
      <c r="C23" s="11" t="s">
        <v>405</v>
      </c>
      <c r="D23" s="11">
        <v>0</v>
      </c>
      <c r="E23" s="11">
        <f t="shared" si="0"/>
        <v>395</v>
      </c>
      <c r="F23" s="11">
        <f t="shared" si="1"/>
        <v>1</v>
      </c>
      <c r="G23" s="11">
        <f t="shared" si="2"/>
        <v>1182000000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404</v>
      </c>
      <c r="B24" s="38">
        <v>630843</v>
      </c>
      <c r="C24" s="11" t="s">
        <v>401</v>
      </c>
      <c r="D24" s="11">
        <v>2</v>
      </c>
      <c r="E24" s="11">
        <f t="shared" si="0"/>
        <v>395</v>
      </c>
      <c r="F24" s="11">
        <f t="shared" si="1"/>
        <v>1</v>
      </c>
      <c r="G24" s="11">
        <f>B24*(E24-F24)</f>
        <v>248552142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410</v>
      </c>
      <c r="B25" s="38">
        <v>-3200900</v>
      </c>
      <c r="C25" s="11" t="s">
        <v>412</v>
      </c>
      <c r="D25" s="11">
        <v>2</v>
      </c>
      <c r="E25" s="11">
        <f t="shared" si="0"/>
        <v>393</v>
      </c>
      <c r="F25" s="11">
        <f t="shared" si="1"/>
        <v>0</v>
      </c>
      <c r="G25" s="11">
        <f t="shared" ref="G25:G30" si="3">B25*(E25-F25)</f>
        <v>-1257953700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422</v>
      </c>
      <c r="B26" s="38">
        <v>-3000900</v>
      </c>
      <c r="C26" s="11" t="s">
        <v>423</v>
      </c>
      <c r="D26" s="11">
        <v>2</v>
      </c>
      <c r="E26" s="11">
        <f t="shared" si="0"/>
        <v>391</v>
      </c>
      <c r="F26" s="11">
        <f t="shared" si="1"/>
        <v>0</v>
      </c>
      <c r="G26" s="11">
        <f t="shared" si="3"/>
        <v>-1173351900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428</v>
      </c>
      <c r="B27" s="38">
        <v>1000000</v>
      </c>
      <c r="C27" s="11" t="s">
        <v>430</v>
      </c>
      <c r="D27" s="11">
        <v>0</v>
      </c>
      <c r="E27" s="11">
        <f t="shared" si="0"/>
        <v>389</v>
      </c>
      <c r="F27" s="11">
        <f t="shared" si="1"/>
        <v>1</v>
      </c>
      <c r="G27" s="11">
        <f t="shared" si="3"/>
        <v>388000000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428</v>
      </c>
      <c r="B28" s="38">
        <v>6000000</v>
      </c>
      <c r="C28" s="11" t="s">
        <v>431</v>
      </c>
      <c r="D28" s="11">
        <v>0</v>
      </c>
      <c r="E28" s="11">
        <f t="shared" si="0"/>
        <v>389</v>
      </c>
      <c r="F28" s="11">
        <f t="shared" si="1"/>
        <v>1</v>
      </c>
      <c r="G28" s="11">
        <f t="shared" si="3"/>
        <v>2328000000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428</v>
      </c>
      <c r="B29" s="38">
        <v>5800000</v>
      </c>
      <c r="C29" s="11" t="s">
        <v>432</v>
      </c>
      <c r="D29" s="11">
        <v>0</v>
      </c>
      <c r="E29" s="11">
        <f t="shared" si="0"/>
        <v>389</v>
      </c>
      <c r="F29" s="11">
        <f t="shared" si="1"/>
        <v>1</v>
      </c>
      <c r="G29" s="11">
        <f t="shared" si="3"/>
        <v>2250400000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428</v>
      </c>
      <c r="B30" s="38">
        <v>-5000</v>
      </c>
      <c r="C30" s="11" t="s">
        <v>433</v>
      </c>
      <c r="D30" s="11">
        <v>1</v>
      </c>
      <c r="E30" s="11">
        <f t="shared" si="0"/>
        <v>389</v>
      </c>
      <c r="F30" s="11">
        <f t="shared" si="1"/>
        <v>0</v>
      </c>
      <c r="G30" s="11">
        <f t="shared" si="3"/>
        <v>-1945000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443</v>
      </c>
      <c r="B31" s="38">
        <v>-26000000</v>
      </c>
      <c r="C31" s="11" t="s">
        <v>444</v>
      </c>
      <c r="D31" s="11">
        <v>2</v>
      </c>
      <c r="E31" s="11">
        <f t="shared" si="0"/>
        <v>388</v>
      </c>
      <c r="F31" s="11">
        <f t="shared" si="1"/>
        <v>0</v>
      </c>
      <c r="G31" s="11">
        <f>B31*(E31-F31)</f>
        <v>-10088000000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440</v>
      </c>
      <c r="B32" s="38">
        <v>-26200000</v>
      </c>
      <c r="C32" s="11" t="s">
        <v>442</v>
      </c>
      <c r="D32" s="11">
        <v>19</v>
      </c>
      <c r="E32" s="11">
        <f t="shared" si="0"/>
        <v>386</v>
      </c>
      <c r="F32" s="11">
        <f t="shared" si="1"/>
        <v>0</v>
      </c>
      <c r="G32" s="11">
        <f>B32*(E32-F32)</f>
        <v>-10113200000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472</v>
      </c>
      <c r="B33" s="38">
        <v>327005</v>
      </c>
      <c r="C33" s="11" t="s">
        <v>483</v>
      </c>
      <c r="D33" s="11">
        <v>18</v>
      </c>
      <c r="E33" s="11">
        <f t="shared" si="0"/>
        <v>367</v>
      </c>
      <c r="F33" s="11">
        <f t="shared" si="1"/>
        <v>1</v>
      </c>
      <c r="G33" s="11">
        <f>B33*(E33-F33)</f>
        <v>119683830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496</v>
      </c>
      <c r="B34" s="38">
        <v>28400000</v>
      </c>
      <c r="C34" s="11" t="s">
        <v>553</v>
      </c>
      <c r="D34" s="11">
        <v>0</v>
      </c>
      <c r="E34" s="11">
        <f t="shared" si="0"/>
        <v>349</v>
      </c>
      <c r="F34" s="11">
        <f t="shared" si="1"/>
        <v>1</v>
      </c>
      <c r="G34" s="11">
        <f t="shared" ref="G34:G126" si="4">B34*(E34-F34)</f>
        <v>9883200000</v>
      </c>
      <c r="V34" s="25"/>
      <c r="W34" s="26"/>
      <c r="X34" s="25"/>
    </row>
    <row r="35" spans="1:27" x14ac:dyDescent="0.25">
      <c r="A35" s="12" t="s">
        <v>496</v>
      </c>
      <c r="B35" s="57">
        <v>11000000</v>
      </c>
      <c r="C35" s="12" t="s">
        <v>498</v>
      </c>
      <c r="D35" s="11">
        <v>15</v>
      </c>
      <c r="E35" s="11">
        <f t="shared" si="0"/>
        <v>349</v>
      </c>
      <c r="F35" s="11">
        <f t="shared" si="1"/>
        <v>1</v>
      </c>
      <c r="G35" s="12">
        <f t="shared" si="4"/>
        <v>3828000000</v>
      </c>
    </row>
    <row r="36" spans="1:27" x14ac:dyDescent="0.25">
      <c r="A36" s="11" t="s">
        <v>510</v>
      </c>
      <c r="B36" s="38">
        <v>418701</v>
      </c>
      <c r="C36" s="11" t="s">
        <v>511</v>
      </c>
      <c r="D36" s="11">
        <v>0</v>
      </c>
      <c r="E36" s="11">
        <f t="shared" si="0"/>
        <v>334</v>
      </c>
      <c r="F36" s="11">
        <f t="shared" si="1"/>
        <v>1</v>
      </c>
      <c r="G36" s="11">
        <f t="shared" si="4"/>
        <v>139427433</v>
      </c>
    </row>
    <row r="37" spans="1:27" x14ac:dyDescent="0.25">
      <c r="A37" s="11" t="s">
        <v>510</v>
      </c>
      <c r="B37" s="38">
        <v>-900</v>
      </c>
      <c r="C37" s="11" t="s">
        <v>512</v>
      </c>
      <c r="D37" s="11">
        <v>1</v>
      </c>
      <c r="E37" s="11">
        <f t="shared" si="0"/>
        <v>334</v>
      </c>
      <c r="F37" s="11">
        <f t="shared" si="1"/>
        <v>0</v>
      </c>
      <c r="G37" s="11">
        <f t="shared" si="4"/>
        <v>-300600</v>
      </c>
      <c r="J37" s="58"/>
    </row>
    <row r="38" spans="1:27" x14ac:dyDescent="0.25">
      <c r="A38" s="12" t="s">
        <v>516</v>
      </c>
      <c r="B38" s="57">
        <v>2000000</v>
      </c>
      <c r="C38" s="12" t="s">
        <v>517</v>
      </c>
      <c r="D38" s="11">
        <v>0</v>
      </c>
      <c r="E38" s="11">
        <f t="shared" si="0"/>
        <v>333</v>
      </c>
      <c r="F38" s="11">
        <f t="shared" si="1"/>
        <v>1</v>
      </c>
      <c r="G38" s="12">
        <f t="shared" si="4"/>
        <v>664000000</v>
      </c>
      <c r="J38" s="7"/>
      <c r="K38" s="7"/>
    </row>
    <row r="39" spans="1:27" x14ac:dyDescent="0.25">
      <c r="A39" s="11" t="s">
        <v>516</v>
      </c>
      <c r="B39" s="38">
        <v>2000000</v>
      </c>
      <c r="C39" s="11" t="s">
        <v>518</v>
      </c>
      <c r="D39" s="11">
        <v>14</v>
      </c>
      <c r="E39" s="11">
        <f t="shared" si="0"/>
        <v>333</v>
      </c>
      <c r="F39" s="11">
        <f>IF(B39&gt;0,1,0)</f>
        <v>1</v>
      </c>
      <c r="G39" s="11">
        <f t="shared" si="4"/>
        <v>664000000</v>
      </c>
    </row>
    <row r="40" spans="1:27" x14ac:dyDescent="0.25">
      <c r="A40" s="11" t="s">
        <v>520</v>
      </c>
      <c r="B40" s="38">
        <v>-200000</v>
      </c>
      <c r="C40" s="11" t="s">
        <v>521</v>
      </c>
      <c r="D40" s="11">
        <v>0</v>
      </c>
      <c r="E40" s="11">
        <f t="shared" si="0"/>
        <v>319</v>
      </c>
      <c r="F40" s="11">
        <f>IF(B40&gt;0,1,0)</f>
        <v>0</v>
      </c>
      <c r="G40" s="11">
        <f t="shared" si="4"/>
        <v>-63800000</v>
      </c>
    </row>
    <row r="41" spans="1:27" x14ac:dyDescent="0.25">
      <c r="A41" s="11" t="s">
        <v>520</v>
      </c>
      <c r="B41" s="38">
        <v>-620000</v>
      </c>
      <c r="C41" s="11" t="s">
        <v>522</v>
      </c>
      <c r="D41" s="11">
        <v>0</v>
      </c>
      <c r="E41" s="11">
        <f t="shared" si="0"/>
        <v>319</v>
      </c>
      <c r="F41" s="11">
        <f>IF(B41&gt;0,1,0)</f>
        <v>0</v>
      </c>
      <c r="G41" s="11">
        <f t="shared" si="4"/>
        <v>-197780000</v>
      </c>
    </row>
    <row r="42" spans="1:27" x14ac:dyDescent="0.25">
      <c r="A42" s="11" t="s">
        <v>520</v>
      </c>
      <c r="B42" s="38">
        <v>-120000</v>
      </c>
      <c r="C42" s="11" t="s">
        <v>523</v>
      </c>
      <c r="D42" s="11">
        <v>2</v>
      </c>
      <c r="E42" s="11">
        <f t="shared" si="0"/>
        <v>319</v>
      </c>
      <c r="F42" s="11">
        <f t="shared" ref="F42:F126" si="5">IF(B42&gt;0,1,0)</f>
        <v>0</v>
      </c>
      <c r="G42" s="11">
        <f t="shared" si="4"/>
        <v>-38280000</v>
      </c>
      <c r="J42" s="7"/>
    </row>
    <row r="43" spans="1:27" x14ac:dyDescent="0.25">
      <c r="A43" s="11" t="s">
        <v>524</v>
      </c>
      <c r="B43" s="38">
        <v>650000</v>
      </c>
      <c r="C43" s="11" t="s">
        <v>525</v>
      </c>
      <c r="D43" s="11">
        <v>0</v>
      </c>
      <c r="E43" s="11">
        <f t="shared" si="0"/>
        <v>317</v>
      </c>
      <c r="F43" s="11">
        <f t="shared" si="5"/>
        <v>1</v>
      </c>
      <c r="G43" s="11">
        <f t="shared" si="4"/>
        <v>205400000</v>
      </c>
    </row>
    <row r="44" spans="1:27" x14ac:dyDescent="0.25">
      <c r="A44" s="11" t="s">
        <v>524</v>
      </c>
      <c r="B44" s="38">
        <v>-5000</v>
      </c>
      <c r="C44" s="11" t="s">
        <v>26</v>
      </c>
      <c r="D44" s="11">
        <v>0</v>
      </c>
      <c r="E44" s="11">
        <f t="shared" si="0"/>
        <v>317</v>
      </c>
      <c r="F44" s="11">
        <f t="shared" si="5"/>
        <v>0</v>
      </c>
      <c r="G44" s="11">
        <f t="shared" si="4"/>
        <v>-1585000</v>
      </c>
    </row>
    <row r="45" spans="1:27" x14ac:dyDescent="0.25">
      <c r="A45" s="11" t="s">
        <v>524</v>
      </c>
      <c r="B45" s="38">
        <v>29000000</v>
      </c>
      <c r="C45" s="11" t="s">
        <v>526</v>
      </c>
      <c r="D45" s="11">
        <v>4</v>
      </c>
      <c r="E45" s="11">
        <f t="shared" si="0"/>
        <v>317</v>
      </c>
      <c r="F45" s="11">
        <f t="shared" si="5"/>
        <v>1</v>
      </c>
      <c r="G45" s="11">
        <f t="shared" si="4"/>
        <v>9164000000</v>
      </c>
    </row>
    <row r="46" spans="1:27" x14ac:dyDescent="0.25">
      <c r="A46" s="11" t="s">
        <v>533</v>
      </c>
      <c r="B46" s="38">
        <v>-200000</v>
      </c>
      <c r="C46" s="11" t="s">
        <v>538</v>
      </c>
      <c r="D46" s="11">
        <v>3</v>
      </c>
      <c r="E46" s="11">
        <f t="shared" si="0"/>
        <v>313</v>
      </c>
      <c r="F46" s="11">
        <f t="shared" si="5"/>
        <v>0</v>
      </c>
      <c r="G46" s="11">
        <f t="shared" si="4"/>
        <v>-62600000</v>
      </c>
    </row>
    <row r="47" spans="1:27" x14ac:dyDescent="0.25">
      <c r="A47" s="11" t="s">
        <v>539</v>
      </c>
      <c r="B47" s="38">
        <v>-200000</v>
      </c>
      <c r="C47" s="11" t="s">
        <v>541</v>
      </c>
      <c r="D47" s="11">
        <v>1</v>
      </c>
      <c r="E47" s="11">
        <f t="shared" si="0"/>
        <v>310</v>
      </c>
      <c r="F47" s="11">
        <f t="shared" si="5"/>
        <v>0</v>
      </c>
      <c r="G47" s="11">
        <f t="shared" si="4"/>
        <v>-62000000</v>
      </c>
    </row>
    <row r="48" spans="1:27" x14ac:dyDescent="0.25">
      <c r="A48" s="11" t="s">
        <v>540</v>
      </c>
      <c r="B48" s="38">
        <v>-200000</v>
      </c>
      <c r="C48" s="11" t="s">
        <v>158</v>
      </c>
      <c r="D48" s="11">
        <v>5</v>
      </c>
      <c r="E48" s="11">
        <f t="shared" si="0"/>
        <v>309</v>
      </c>
      <c r="F48" s="11">
        <f t="shared" si="5"/>
        <v>0</v>
      </c>
      <c r="G48" s="11">
        <f t="shared" si="4"/>
        <v>-61800000</v>
      </c>
    </row>
    <row r="49" spans="1:7" x14ac:dyDescent="0.25">
      <c r="A49" s="11" t="s">
        <v>544</v>
      </c>
      <c r="B49" s="38">
        <v>3000000</v>
      </c>
      <c r="C49" s="11" t="s">
        <v>545</v>
      </c>
      <c r="D49" s="11">
        <v>0</v>
      </c>
      <c r="E49" s="11">
        <f t="shared" si="0"/>
        <v>304</v>
      </c>
      <c r="F49" s="11">
        <f t="shared" si="5"/>
        <v>1</v>
      </c>
      <c r="G49" s="11">
        <f t="shared" si="4"/>
        <v>909000000</v>
      </c>
    </row>
    <row r="50" spans="1:7" x14ac:dyDescent="0.25">
      <c r="A50" s="12" t="s">
        <v>544</v>
      </c>
      <c r="B50" s="57">
        <v>3000000</v>
      </c>
      <c r="C50" s="12" t="s">
        <v>546</v>
      </c>
      <c r="D50" s="11">
        <v>1</v>
      </c>
      <c r="E50" s="11">
        <f t="shared" si="0"/>
        <v>304</v>
      </c>
      <c r="F50" s="11">
        <f t="shared" si="5"/>
        <v>1</v>
      </c>
      <c r="G50" s="12">
        <f t="shared" si="4"/>
        <v>909000000</v>
      </c>
    </row>
    <row r="51" spans="1:7" x14ac:dyDescent="0.25">
      <c r="A51" s="11" t="s">
        <v>549</v>
      </c>
      <c r="B51" s="38">
        <v>765797</v>
      </c>
      <c r="C51" s="11" t="s">
        <v>550</v>
      </c>
      <c r="D51" s="11">
        <v>0</v>
      </c>
      <c r="E51" s="11">
        <f t="shared" si="0"/>
        <v>303</v>
      </c>
      <c r="F51" s="11">
        <f t="shared" si="5"/>
        <v>1</v>
      </c>
      <c r="G51" s="11">
        <f t="shared" si="4"/>
        <v>231270694</v>
      </c>
    </row>
    <row r="52" spans="1:7" x14ac:dyDescent="0.25">
      <c r="A52" s="11" t="s">
        <v>549</v>
      </c>
      <c r="B52" s="38">
        <v>-200000</v>
      </c>
      <c r="C52" s="11" t="s">
        <v>158</v>
      </c>
      <c r="D52" s="11">
        <v>7</v>
      </c>
      <c r="E52" s="11">
        <f t="shared" si="0"/>
        <v>303</v>
      </c>
      <c r="F52" s="11">
        <f t="shared" si="5"/>
        <v>0</v>
      </c>
      <c r="G52" s="11">
        <f t="shared" si="4"/>
        <v>-60600000</v>
      </c>
    </row>
    <row r="53" spans="1:7" x14ac:dyDescent="0.25">
      <c r="A53" s="11" t="s">
        <v>561</v>
      </c>
      <c r="B53" s="38">
        <v>-400500</v>
      </c>
      <c r="C53" s="11" t="s">
        <v>562</v>
      </c>
      <c r="D53" s="11">
        <v>9</v>
      </c>
      <c r="E53" s="11">
        <f t="shared" si="0"/>
        <v>296</v>
      </c>
      <c r="F53" s="11">
        <f t="shared" si="5"/>
        <v>0</v>
      </c>
      <c r="G53" s="11">
        <f t="shared" si="4"/>
        <v>-118548000</v>
      </c>
    </row>
    <row r="54" spans="1:7" x14ac:dyDescent="0.25">
      <c r="A54" s="11" t="s">
        <v>576</v>
      </c>
      <c r="B54" s="38">
        <v>-1000396</v>
      </c>
      <c r="C54" s="11" t="s">
        <v>630</v>
      </c>
      <c r="D54" s="11">
        <v>6</v>
      </c>
      <c r="E54" s="11">
        <f t="shared" si="0"/>
        <v>287</v>
      </c>
      <c r="F54" s="11">
        <f t="shared" si="5"/>
        <v>0</v>
      </c>
      <c r="G54" s="11">
        <f t="shared" si="4"/>
        <v>-287113652</v>
      </c>
    </row>
    <row r="55" spans="1:7" x14ac:dyDescent="0.25">
      <c r="A55" s="11" t="s">
        <v>579</v>
      </c>
      <c r="B55" s="38">
        <v>-40000000</v>
      </c>
      <c r="C55" s="11" t="s">
        <v>580</v>
      </c>
      <c r="D55" s="11">
        <v>9</v>
      </c>
      <c r="E55" s="11">
        <f t="shared" si="0"/>
        <v>281</v>
      </c>
      <c r="F55" s="11">
        <f t="shared" si="5"/>
        <v>0</v>
      </c>
      <c r="G55" s="11">
        <f t="shared" si="4"/>
        <v>-11240000000</v>
      </c>
    </row>
    <row r="56" spans="1:7" x14ac:dyDescent="0.25">
      <c r="A56" s="11" t="s">
        <v>585</v>
      </c>
      <c r="B56" s="38">
        <v>865652</v>
      </c>
      <c r="C56" s="11" t="s">
        <v>586</v>
      </c>
      <c r="D56" s="11">
        <v>27</v>
      </c>
      <c r="E56" s="11">
        <f t="shared" si="0"/>
        <v>272</v>
      </c>
      <c r="F56" s="11">
        <f t="shared" si="5"/>
        <v>1</v>
      </c>
      <c r="G56" s="11">
        <f t="shared" si="4"/>
        <v>234591692</v>
      </c>
    </row>
    <row r="57" spans="1:7" x14ac:dyDescent="0.25">
      <c r="A57" s="11" t="s">
        <v>616</v>
      </c>
      <c r="B57" s="38">
        <v>-50200000</v>
      </c>
      <c r="C57" s="11" t="s">
        <v>618</v>
      </c>
      <c r="D57" s="11">
        <v>1</v>
      </c>
      <c r="E57" s="11">
        <f t="shared" si="0"/>
        <v>245</v>
      </c>
      <c r="F57" s="11">
        <f t="shared" si="5"/>
        <v>0</v>
      </c>
      <c r="G57" s="11">
        <f t="shared" si="4"/>
        <v>-12299000000</v>
      </c>
    </row>
    <row r="58" spans="1:7" x14ac:dyDescent="0.25">
      <c r="A58" s="11" t="s">
        <v>622</v>
      </c>
      <c r="B58" s="38">
        <v>-12200500</v>
      </c>
      <c r="C58" s="11" t="s">
        <v>623</v>
      </c>
      <c r="D58" s="11">
        <v>3</v>
      </c>
      <c r="E58" s="11">
        <f t="shared" si="0"/>
        <v>244</v>
      </c>
      <c r="F58" s="11">
        <f t="shared" si="5"/>
        <v>0</v>
      </c>
      <c r="G58" s="11">
        <f t="shared" si="4"/>
        <v>-2976922000</v>
      </c>
    </row>
    <row r="59" spans="1:7" x14ac:dyDescent="0.25">
      <c r="A59" s="11" t="s">
        <v>628</v>
      </c>
      <c r="B59" s="38">
        <v>534906</v>
      </c>
      <c r="C59" s="11" t="s">
        <v>629</v>
      </c>
      <c r="D59" s="11">
        <v>1</v>
      </c>
      <c r="E59" s="11">
        <f t="shared" si="0"/>
        <v>241</v>
      </c>
      <c r="F59" s="11">
        <f t="shared" si="5"/>
        <v>1</v>
      </c>
      <c r="G59" s="11">
        <f t="shared" si="4"/>
        <v>128377440</v>
      </c>
    </row>
    <row r="60" spans="1:7" x14ac:dyDescent="0.25">
      <c r="A60" s="11" t="s">
        <v>637</v>
      </c>
      <c r="B60" s="38">
        <v>-338000</v>
      </c>
      <c r="C60" s="11" t="s">
        <v>639</v>
      </c>
      <c r="D60" s="11">
        <v>2</v>
      </c>
      <c r="E60" s="11">
        <f t="shared" si="0"/>
        <v>240</v>
      </c>
      <c r="F60" s="11">
        <f t="shared" si="5"/>
        <v>0</v>
      </c>
      <c r="G60" s="11">
        <f t="shared" si="4"/>
        <v>-81120000</v>
      </c>
    </row>
    <row r="61" spans="1:7" x14ac:dyDescent="0.25">
      <c r="A61" s="11" t="s">
        <v>640</v>
      </c>
      <c r="B61" s="38">
        <v>-150000</v>
      </c>
      <c r="C61" s="11" t="s">
        <v>641</v>
      </c>
      <c r="D61" s="11">
        <v>4</v>
      </c>
      <c r="E61" s="11">
        <f t="shared" si="0"/>
        <v>238</v>
      </c>
      <c r="F61" s="11">
        <f t="shared" si="5"/>
        <v>0</v>
      </c>
      <c r="G61" s="11">
        <f t="shared" si="4"/>
        <v>-35700000</v>
      </c>
    </row>
    <row r="62" spans="1:7" x14ac:dyDescent="0.25">
      <c r="A62" s="11" t="s">
        <v>646</v>
      </c>
      <c r="B62" s="38">
        <v>-100000</v>
      </c>
      <c r="C62" s="11" t="s">
        <v>26</v>
      </c>
      <c r="D62" s="11">
        <v>4</v>
      </c>
      <c r="E62" s="11">
        <f t="shared" si="0"/>
        <v>234</v>
      </c>
      <c r="F62" s="11">
        <f t="shared" si="5"/>
        <v>0</v>
      </c>
      <c r="G62" s="11">
        <f t="shared" si="4"/>
        <v>-23400000</v>
      </c>
    </row>
    <row r="63" spans="1:7" x14ac:dyDescent="0.25">
      <c r="A63" s="11" t="s">
        <v>648</v>
      </c>
      <c r="B63" s="38">
        <v>-200000</v>
      </c>
      <c r="C63" s="11" t="s">
        <v>158</v>
      </c>
      <c r="D63" s="11">
        <v>0</v>
      </c>
      <c r="E63" s="11">
        <f t="shared" si="0"/>
        <v>230</v>
      </c>
      <c r="F63" s="11">
        <f t="shared" si="5"/>
        <v>0</v>
      </c>
      <c r="G63" s="11">
        <f t="shared" si="4"/>
        <v>-46000000</v>
      </c>
    </row>
    <row r="64" spans="1:7" x14ac:dyDescent="0.25">
      <c r="A64" s="11" t="s">
        <v>71</v>
      </c>
      <c r="B64" s="38">
        <v>-87000</v>
      </c>
      <c r="C64" s="11" t="s">
        <v>649</v>
      </c>
      <c r="D64" s="11">
        <v>4</v>
      </c>
      <c r="E64" s="11">
        <f t="shared" si="0"/>
        <v>230</v>
      </c>
      <c r="F64" s="11">
        <f t="shared" si="5"/>
        <v>0</v>
      </c>
      <c r="G64" s="11">
        <f t="shared" si="4"/>
        <v>-20010000</v>
      </c>
    </row>
    <row r="65" spans="1:10" x14ac:dyDescent="0.25">
      <c r="A65" s="11" t="s">
        <v>655</v>
      </c>
      <c r="B65" s="38">
        <v>-27470</v>
      </c>
      <c r="C65" s="11" t="s">
        <v>656</v>
      </c>
      <c r="D65" s="11">
        <v>1</v>
      </c>
      <c r="E65" s="11">
        <f t="shared" si="0"/>
        <v>226</v>
      </c>
      <c r="F65" s="11">
        <f t="shared" si="5"/>
        <v>0</v>
      </c>
      <c r="G65" s="11">
        <f t="shared" si="4"/>
        <v>-6208220</v>
      </c>
    </row>
    <row r="66" spans="1:10" x14ac:dyDescent="0.25">
      <c r="A66" s="11" t="s">
        <v>659</v>
      </c>
      <c r="B66" s="38">
        <v>-334000</v>
      </c>
      <c r="C66" s="11" t="s">
        <v>660</v>
      </c>
      <c r="D66" s="11">
        <v>5</v>
      </c>
      <c r="E66" s="11">
        <f t="shared" si="0"/>
        <v>225</v>
      </c>
      <c r="F66" s="11">
        <f t="shared" si="5"/>
        <v>0</v>
      </c>
      <c r="G66" s="11">
        <f t="shared" si="4"/>
        <v>-75150000</v>
      </c>
    </row>
    <row r="67" spans="1:10" x14ac:dyDescent="0.25">
      <c r="A67" s="11" t="s">
        <v>663</v>
      </c>
      <c r="B67" s="38">
        <v>-20000</v>
      </c>
      <c r="C67" s="11" t="s">
        <v>664</v>
      </c>
      <c r="D67" s="11">
        <v>1</v>
      </c>
      <c r="E67" s="11">
        <f t="shared" ref="E67:E126" si="6">D67+E68</f>
        <v>220</v>
      </c>
      <c r="F67" s="11">
        <f t="shared" si="5"/>
        <v>0</v>
      </c>
      <c r="G67" s="11">
        <f t="shared" si="4"/>
        <v>-4400000</v>
      </c>
    </row>
    <row r="68" spans="1:10" x14ac:dyDescent="0.25">
      <c r="A68" s="11" t="s">
        <v>662</v>
      </c>
      <c r="B68" s="38">
        <v>-300500</v>
      </c>
      <c r="C68" s="11" t="s">
        <v>665</v>
      </c>
      <c r="D68" s="11">
        <v>0</v>
      </c>
      <c r="E68" s="11">
        <f t="shared" si="6"/>
        <v>219</v>
      </c>
      <c r="F68" s="11">
        <f t="shared" si="5"/>
        <v>0</v>
      </c>
      <c r="G68" s="11">
        <f t="shared" si="4"/>
        <v>-65809500</v>
      </c>
    </row>
    <row r="69" spans="1:10" x14ac:dyDescent="0.25">
      <c r="A69" s="11" t="s">
        <v>662</v>
      </c>
      <c r="B69" s="38">
        <v>-100000</v>
      </c>
      <c r="C69" s="11" t="s">
        <v>666</v>
      </c>
      <c r="D69" s="11">
        <v>5</v>
      </c>
      <c r="E69" s="11">
        <f t="shared" si="6"/>
        <v>219</v>
      </c>
      <c r="F69" s="11">
        <f t="shared" si="5"/>
        <v>0</v>
      </c>
      <c r="G69" s="11">
        <f t="shared" si="4"/>
        <v>-21900000</v>
      </c>
    </row>
    <row r="70" spans="1:10" x14ac:dyDescent="0.25">
      <c r="A70" s="11" t="s">
        <v>669</v>
      </c>
      <c r="B70" s="38">
        <v>-200000</v>
      </c>
      <c r="C70" s="11" t="s">
        <v>26</v>
      </c>
      <c r="D70" s="11">
        <v>4</v>
      </c>
      <c r="E70" s="11">
        <f t="shared" si="6"/>
        <v>214</v>
      </c>
      <c r="F70" s="11">
        <f t="shared" si="5"/>
        <v>0</v>
      </c>
      <c r="G70" s="11">
        <f t="shared" si="4"/>
        <v>-42800000</v>
      </c>
    </row>
    <row r="71" spans="1:10" x14ac:dyDescent="0.25">
      <c r="A71" s="11" t="s">
        <v>631</v>
      </c>
      <c r="B71" s="38">
        <v>15389</v>
      </c>
      <c r="C71" s="11" t="s">
        <v>670</v>
      </c>
      <c r="D71" s="11">
        <v>0</v>
      </c>
      <c r="E71" s="11">
        <f t="shared" si="6"/>
        <v>210</v>
      </c>
      <c r="F71" s="11">
        <f t="shared" si="5"/>
        <v>1</v>
      </c>
      <c r="G71" s="11">
        <f t="shared" si="4"/>
        <v>3216301</v>
      </c>
    </row>
    <row r="72" spans="1:10" x14ac:dyDescent="0.25">
      <c r="A72" s="11" t="s">
        <v>631</v>
      </c>
      <c r="B72" s="38">
        <v>4000000</v>
      </c>
      <c r="C72" s="11" t="s">
        <v>676</v>
      </c>
      <c r="D72" s="11">
        <v>0</v>
      </c>
      <c r="E72" s="11">
        <f t="shared" si="6"/>
        <v>210</v>
      </c>
      <c r="F72" s="11">
        <f t="shared" si="5"/>
        <v>1</v>
      </c>
      <c r="G72" s="11">
        <f t="shared" si="4"/>
        <v>836000000</v>
      </c>
    </row>
    <row r="73" spans="1:10" x14ac:dyDescent="0.25">
      <c r="A73" s="11" t="s">
        <v>631</v>
      </c>
      <c r="B73" s="38">
        <v>2600000</v>
      </c>
      <c r="C73" s="11" t="s">
        <v>677</v>
      </c>
      <c r="D73" s="11">
        <v>0</v>
      </c>
      <c r="E73" s="11">
        <f t="shared" si="6"/>
        <v>210</v>
      </c>
      <c r="F73" s="11">
        <f t="shared" si="5"/>
        <v>1</v>
      </c>
      <c r="G73" s="11">
        <f t="shared" si="4"/>
        <v>543400000</v>
      </c>
      <c r="J73" t="s">
        <v>25</v>
      </c>
    </row>
    <row r="74" spans="1:10" x14ac:dyDescent="0.25">
      <c r="A74" s="11" t="s">
        <v>631</v>
      </c>
      <c r="B74" s="38">
        <v>3000000</v>
      </c>
      <c r="C74" s="11" t="s">
        <v>678</v>
      </c>
      <c r="D74" s="11">
        <v>3</v>
      </c>
      <c r="E74" s="11">
        <f t="shared" si="6"/>
        <v>210</v>
      </c>
      <c r="F74" s="11">
        <f t="shared" si="5"/>
        <v>1</v>
      </c>
      <c r="G74" s="11">
        <f t="shared" si="4"/>
        <v>627000000</v>
      </c>
    </row>
    <row r="75" spans="1:10" x14ac:dyDescent="0.25">
      <c r="A75" s="11" t="s">
        <v>680</v>
      </c>
      <c r="B75" s="38">
        <v>-200000</v>
      </c>
      <c r="C75" s="11" t="s">
        <v>158</v>
      </c>
      <c r="D75" s="11">
        <v>3</v>
      </c>
      <c r="E75" s="11">
        <f t="shared" si="6"/>
        <v>207</v>
      </c>
      <c r="F75" s="11">
        <f t="shared" si="5"/>
        <v>0</v>
      </c>
      <c r="G75" s="11">
        <f t="shared" si="4"/>
        <v>-41400000</v>
      </c>
    </row>
    <row r="76" spans="1:10" x14ac:dyDescent="0.25">
      <c r="A76" s="11" t="s">
        <v>681</v>
      </c>
      <c r="B76" s="38">
        <v>-2000700</v>
      </c>
      <c r="C76" s="11" t="s">
        <v>682</v>
      </c>
      <c r="D76" s="11">
        <v>0</v>
      </c>
      <c r="E76" s="11">
        <f t="shared" si="6"/>
        <v>204</v>
      </c>
      <c r="F76" s="11">
        <f t="shared" si="5"/>
        <v>0</v>
      </c>
      <c r="G76" s="11">
        <f t="shared" si="4"/>
        <v>-408142800</v>
      </c>
    </row>
    <row r="77" spans="1:10" x14ac:dyDescent="0.25">
      <c r="A77" s="11" t="s">
        <v>681</v>
      </c>
      <c r="B77" s="38">
        <v>-200000</v>
      </c>
      <c r="C77" s="11" t="s">
        <v>158</v>
      </c>
      <c r="D77" s="11">
        <v>4</v>
      </c>
      <c r="E77" s="11">
        <f t="shared" si="6"/>
        <v>204</v>
      </c>
      <c r="F77" s="11">
        <f t="shared" si="5"/>
        <v>0</v>
      </c>
      <c r="G77" s="11">
        <f t="shared" si="4"/>
        <v>-40800000</v>
      </c>
    </row>
    <row r="78" spans="1:10" x14ac:dyDescent="0.25">
      <c r="A78" s="11" t="s">
        <v>685</v>
      </c>
      <c r="B78" s="38">
        <v>2000000</v>
      </c>
      <c r="C78" s="11" t="s">
        <v>686</v>
      </c>
      <c r="D78" s="11">
        <v>8</v>
      </c>
      <c r="E78" s="11">
        <f t="shared" si="6"/>
        <v>200</v>
      </c>
      <c r="F78" s="11">
        <f t="shared" si="5"/>
        <v>1</v>
      </c>
      <c r="G78" s="11">
        <f t="shared" si="4"/>
        <v>398000000</v>
      </c>
      <c r="J78" t="s">
        <v>25</v>
      </c>
    </row>
    <row r="79" spans="1:10" x14ac:dyDescent="0.25">
      <c r="A79" s="11" t="s">
        <v>687</v>
      </c>
      <c r="B79" s="38">
        <v>-1000500</v>
      </c>
      <c r="C79" s="11" t="s">
        <v>688</v>
      </c>
      <c r="D79" s="11">
        <v>0</v>
      </c>
      <c r="E79" s="11">
        <f t="shared" si="6"/>
        <v>192</v>
      </c>
      <c r="F79" s="11">
        <f t="shared" si="5"/>
        <v>0</v>
      </c>
      <c r="G79" s="11">
        <f t="shared" si="4"/>
        <v>-192096000</v>
      </c>
    </row>
    <row r="80" spans="1:10" x14ac:dyDescent="0.25">
      <c r="A80" s="11" t="s">
        <v>687</v>
      </c>
      <c r="B80" s="38">
        <v>-141950</v>
      </c>
      <c r="C80" s="11" t="s">
        <v>689</v>
      </c>
      <c r="D80" s="11">
        <v>3</v>
      </c>
      <c r="E80" s="11">
        <f t="shared" si="6"/>
        <v>192</v>
      </c>
      <c r="F80" s="11">
        <f t="shared" si="5"/>
        <v>0</v>
      </c>
      <c r="G80" s="11">
        <f t="shared" si="4"/>
        <v>-27254400</v>
      </c>
    </row>
    <row r="81" spans="1:7" x14ac:dyDescent="0.25">
      <c r="A81" s="11" t="s">
        <v>692</v>
      </c>
      <c r="B81" s="38">
        <v>-900500</v>
      </c>
      <c r="C81" s="11" t="s">
        <v>693</v>
      </c>
      <c r="D81" s="11">
        <v>10</v>
      </c>
      <c r="E81" s="11">
        <f t="shared" si="6"/>
        <v>189</v>
      </c>
      <c r="F81" s="11">
        <f t="shared" si="5"/>
        <v>0</v>
      </c>
      <c r="G81" s="11">
        <f t="shared" si="4"/>
        <v>-170194500</v>
      </c>
    </row>
    <row r="82" spans="1:7" x14ac:dyDescent="0.25">
      <c r="A82" s="11" t="s">
        <v>632</v>
      </c>
      <c r="B82" s="38">
        <v>81251</v>
      </c>
      <c r="C82" s="11" t="s">
        <v>696</v>
      </c>
      <c r="D82" s="11">
        <v>22</v>
      </c>
      <c r="E82" s="11">
        <f t="shared" si="6"/>
        <v>179</v>
      </c>
      <c r="F82" s="11">
        <f t="shared" si="5"/>
        <v>1</v>
      </c>
      <c r="G82" s="11">
        <f t="shared" si="4"/>
        <v>14462678</v>
      </c>
    </row>
    <row r="83" spans="1:7" x14ac:dyDescent="0.25">
      <c r="A83" s="11" t="s">
        <v>727</v>
      </c>
      <c r="B83" s="38">
        <v>50000000</v>
      </c>
      <c r="C83" s="11" t="s">
        <v>730</v>
      </c>
      <c r="D83" s="11">
        <v>1</v>
      </c>
      <c r="E83" s="11">
        <f t="shared" si="6"/>
        <v>157</v>
      </c>
      <c r="F83" s="11">
        <f t="shared" si="5"/>
        <v>1</v>
      </c>
      <c r="G83" s="11">
        <f t="shared" si="4"/>
        <v>7800000000</v>
      </c>
    </row>
    <row r="84" spans="1:7" x14ac:dyDescent="0.25">
      <c r="A84" s="11" t="s">
        <v>725</v>
      </c>
      <c r="B84" s="38">
        <v>30000000</v>
      </c>
      <c r="C84" s="11" t="s">
        <v>731</v>
      </c>
      <c r="D84" s="11">
        <v>0</v>
      </c>
      <c r="E84" s="11">
        <f t="shared" si="6"/>
        <v>156</v>
      </c>
      <c r="F84" s="11">
        <f t="shared" si="5"/>
        <v>1</v>
      </c>
      <c r="G84" s="11">
        <f t="shared" si="4"/>
        <v>4650000000</v>
      </c>
    </row>
    <row r="85" spans="1:7" x14ac:dyDescent="0.25">
      <c r="A85" s="11" t="s">
        <v>725</v>
      </c>
      <c r="B85" s="38">
        <v>-72500000</v>
      </c>
      <c r="C85" s="11" t="s">
        <v>732</v>
      </c>
      <c r="D85" s="11">
        <v>1</v>
      </c>
      <c r="E85" s="11">
        <f t="shared" si="6"/>
        <v>156</v>
      </c>
      <c r="F85" s="11">
        <f t="shared" si="5"/>
        <v>0</v>
      </c>
      <c r="G85" s="11">
        <f t="shared" si="4"/>
        <v>-11310000000</v>
      </c>
    </row>
    <row r="86" spans="1:7" x14ac:dyDescent="0.25">
      <c r="A86" s="11" t="s">
        <v>733</v>
      </c>
      <c r="B86" s="38">
        <v>-281000</v>
      </c>
      <c r="C86" s="11" t="s">
        <v>745</v>
      </c>
      <c r="D86" s="11">
        <v>5</v>
      </c>
      <c r="E86" s="11">
        <f t="shared" si="6"/>
        <v>155</v>
      </c>
      <c r="F86" s="11">
        <f t="shared" si="5"/>
        <v>0</v>
      </c>
      <c r="G86" s="11">
        <f t="shared" si="4"/>
        <v>-43555000</v>
      </c>
    </row>
    <row r="87" spans="1:7" x14ac:dyDescent="0.25">
      <c r="A87" s="11" t="s">
        <v>738</v>
      </c>
      <c r="B87" s="38">
        <v>2500000</v>
      </c>
      <c r="C87" s="11" t="s">
        <v>742</v>
      </c>
      <c r="D87" s="11">
        <v>1</v>
      </c>
      <c r="E87" s="11">
        <f t="shared" si="6"/>
        <v>150</v>
      </c>
      <c r="F87" s="11">
        <f t="shared" si="5"/>
        <v>1</v>
      </c>
      <c r="G87" s="11">
        <f t="shared" si="4"/>
        <v>372500000</v>
      </c>
    </row>
    <row r="88" spans="1:7" x14ac:dyDescent="0.25">
      <c r="A88" s="11" t="s">
        <v>633</v>
      </c>
      <c r="B88" s="38">
        <v>78340</v>
      </c>
      <c r="C88" s="11" t="s">
        <v>743</v>
      </c>
      <c r="D88" s="11">
        <v>5</v>
      </c>
      <c r="E88" s="11">
        <f t="shared" si="6"/>
        <v>149</v>
      </c>
      <c r="F88" s="11">
        <f t="shared" si="5"/>
        <v>1</v>
      </c>
      <c r="G88" s="11">
        <f t="shared" si="4"/>
        <v>11594320</v>
      </c>
    </row>
    <row r="89" spans="1:7" x14ac:dyDescent="0.25">
      <c r="A89" s="11" t="s">
        <v>750</v>
      </c>
      <c r="B89" s="38">
        <v>15000000</v>
      </c>
      <c r="C89" s="11" t="s">
        <v>751</v>
      </c>
      <c r="D89" s="11">
        <v>25</v>
      </c>
      <c r="E89" s="11">
        <f t="shared" si="6"/>
        <v>144</v>
      </c>
      <c r="F89" s="11">
        <f t="shared" si="5"/>
        <v>1</v>
      </c>
      <c r="G89" s="11">
        <f t="shared" si="4"/>
        <v>2145000000</v>
      </c>
    </row>
    <row r="90" spans="1:7" x14ac:dyDescent="0.25">
      <c r="A90" s="11" t="s">
        <v>634</v>
      </c>
      <c r="B90" s="38">
        <v>244846</v>
      </c>
      <c r="C90" s="11" t="s">
        <v>785</v>
      </c>
      <c r="D90" s="11">
        <v>29</v>
      </c>
      <c r="E90" s="11">
        <f t="shared" si="6"/>
        <v>119</v>
      </c>
      <c r="F90" s="11">
        <f t="shared" si="5"/>
        <v>1</v>
      </c>
      <c r="G90" s="11">
        <f t="shared" si="4"/>
        <v>28891828</v>
      </c>
    </row>
    <row r="91" spans="1:7" x14ac:dyDescent="0.25">
      <c r="A91" s="11" t="s">
        <v>829</v>
      </c>
      <c r="B91" s="38">
        <v>272155</v>
      </c>
      <c r="C91" s="11" t="s">
        <v>831</v>
      </c>
      <c r="D91" s="11">
        <v>30</v>
      </c>
      <c r="E91" s="11">
        <f t="shared" si="6"/>
        <v>90</v>
      </c>
      <c r="F91" s="11">
        <f t="shared" si="5"/>
        <v>1</v>
      </c>
      <c r="G91" s="11">
        <f t="shared" si="4"/>
        <v>24221795</v>
      </c>
    </row>
    <row r="92" spans="1:7" x14ac:dyDescent="0.25">
      <c r="A92" s="11" t="s">
        <v>870</v>
      </c>
      <c r="B92" s="38">
        <v>3000000</v>
      </c>
      <c r="C92" s="11" t="s">
        <v>872</v>
      </c>
      <c r="D92" s="11">
        <v>0</v>
      </c>
      <c r="E92" s="11">
        <f t="shared" si="6"/>
        <v>60</v>
      </c>
      <c r="F92" s="11">
        <f t="shared" si="5"/>
        <v>1</v>
      </c>
      <c r="G92" s="11">
        <f t="shared" si="4"/>
        <v>177000000</v>
      </c>
    </row>
    <row r="93" spans="1:7" x14ac:dyDescent="0.25">
      <c r="A93" s="11" t="s">
        <v>870</v>
      </c>
      <c r="B93" s="35">
        <v>274385</v>
      </c>
      <c r="C93" s="11" t="s">
        <v>264</v>
      </c>
      <c r="D93" s="11">
        <v>1</v>
      </c>
      <c r="E93" s="11">
        <f t="shared" si="6"/>
        <v>60</v>
      </c>
      <c r="F93" s="11">
        <f t="shared" si="5"/>
        <v>1</v>
      </c>
      <c r="G93" s="11">
        <f t="shared" si="4"/>
        <v>16188715</v>
      </c>
    </row>
    <row r="94" spans="1:7" x14ac:dyDescent="0.25">
      <c r="A94" s="11" t="s">
        <v>879</v>
      </c>
      <c r="B94" s="38">
        <v>5500000</v>
      </c>
      <c r="C94" s="11" t="s">
        <v>880</v>
      </c>
      <c r="D94" s="11">
        <v>1</v>
      </c>
      <c r="E94" s="11">
        <f t="shared" si="6"/>
        <v>59</v>
      </c>
      <c r="F94" s="11">
        <f t="shared" si="5"/>
        <v>1</v>
      </c>
      <c r="G94" s="11">
        <f t="shared" si="4"/>
        <v>319000000</v>
      </c>
    </row>
    <row r="95" spans="1:7" x14ac:dyDescent="0.25">
      <c r="A95" s="11" t="s">
        <v>881</v>
      </c>
      <c r="B95" s="38">
        <v>3000000</v>
      </c>
      <c r="C95" s="11" t="s">
        <v>882</v>
      </c>
      <c r="D95" s="11">
        <v>1</v>
      </c>
      <c r="E95" s="11">
        <f t="shared" si="6"/>
        <v>58</v>
      </c>
      <c r="F95" s="11">
        <f t="shared" si="5"/>
        <v>1</v>
      </c>
      <c r="G95" s="11">
        <f t="shared" si="4"/>
        <v>171000000</v>
      </c>
    </row>
    <row r="96" spans="1:7" x14ac:dyDescent="0.25">
      <c r="A96" s="11" t="s">
        <v>883</v>
      </c>
      <c r="B96" s="38">
        <v>3000000</v>
      </c>
      <c r="C96" s="11" t="s">
        <v>884</v>
      </c>
      <c r="D96" s="11">
        <v>1</v>
      </c>
      <c r="E96" s="11">
        <f t="shared" si="6"/>
        <v>57</v>
      </c>
      <c r="F96" s="11">
        <f t="shared" si="5"/>
        <v>1</v>
      </c>
      <c r="G96" s="11">
        <f t="shared" si="4"/>
        <v>168000000</v>
      </c>
    </row>
    <row r="97" spans="1:7" x14ac:dyDescent="0.25">
      <c r="A97" s="11" t="s">
        <v>885</v>
      </c>
      <c r="B97" s="38">
        <v>3000000</v>
      </c>
      <c r="C97" s="11" t="s">
        <v>886</v>
      </c>
      <c r="D97" s="11">
        <v>1</v>
      </c>
      <c r="E97" s="11">
        <f t="shared" si="6"/>
        <v>56</v>
      </c>
      <c r="F97" s="11">
        <f t="shared" si="5"/>
        <v>1</v>
      </c>
      <c r="G97" s="11">
        <f t="shared" si="4"/>
        <v>165000000</v>
      </c>
    </row>
    <row r="98" spans="1:7" x14ac:dyDescent="0.25">
      <c r="A98" s="11" t="s">
        <v>887</v>
      </c>
      <c r="B98" s="38">
        <v>3000000</v>
      </c>
      <c r="C98" s="11" t="s">
        <v>888</v>
      </c>
      <c r="D98" s="11">
        <v>1</v>
      </c>
      <c r="E98" s="11">
        <f t="shared" si="6"/>
        <v>55</v>
      </c>
      <c r="F98" s="11">
        <f t="shared" si="5"/>
        <v>1</v>
      </c>
      <c r="G98" s="11">
        <f t="shared" si="4"/>
        <v>162000000</v>
      </c>
    </row>
    <row r="99" spans="1:7" x14ac:dyDescent="0.25">
      <c r="A99" s="11" t="s">
        <v>889</v>
      </c>
      <c r="B99" s="38">
        <v>3000000</v>
      </c>
      <c r="C99" s="11" t="s">
        <v>890</v>
      </c>
      <c r="D99" s="11">
        <v>2</v>
      </c>
      <c r="E99" s="11">
        <f t="shared" si="6"/>
        <v>54</v>
      </c>
      <c r="F99" s="11">
        <f t="shared" si="5"/>
        <v>1</v>
      </c>
      <c r="G99" s="11">
        <f t="shared" si="4"/>
        <v>159000000</v>
      </c>
    </row>
    <row r="100" spans="1:7" x14ac:dyDescent="0.25">
      <c r="A100" s="11" t="s">
        <v>891</v>
      </c>
      <c r="B100" s="38">
        <v>999500</v>
      </c>
      <c r="C100" s="11" t="s">
        <v>905</v>
      </c>
      <c r="D100" s="11">
        <v>1</v>
      </c>
      <c r="E100" s="11">
        <f t="shared" si="6"/>
        <v>52</v>
      </c>
      <c r="F100" s="11">
        <f t="shared" si="5"/>
        <v>1</v>
      </c>
      <c r="G100" s="11">
        <f t="shared" si="4"/>
        <v>50974500</v>
      </c>
    </row>
    <row r="101" spans="1:7" ht="30" x14ac:dyDescent="0.25">
      <c r="A101" s="11" t="s">
        <v>904</v>
      </c>
      <c r="B101" s="38">
        <v>-1986700</v>
      </c>
      <c r="C101" s="73" t="s">
        <v>906</v>
      </c>
      <c r="D101" s="11">
        <v>21</v>
      </c>
      <c r="E101" s="11">
        <f t="shared" si="6"/>
        <v>51</v>
      </c>
      <c r="F101" s="11">
        <f t="shared" si="5"/>
        <v>0</v>
      </c>
      <c r="G101" s="11">
        <f t="shared" si="4"/>
        <v>-101321700</v>
      </c>
    </row>
    <row r="102" spans="1:7" ht="30" x14ac:dyDescent="0.25">
      <c r="A102" s="11" t="s">
        <v>908</v>
      </c>
      <c r="B102" s="38">
        <v>3000000</v>
      </c>
      <c r="C102" s="73" t="s">
        <v>909</v>
      </c>
      <c r="D102" s="11">
        <v>0</v>
      </c>
      <c r="E102" s="11">
        <f t="shared" si="6"/>
        <v>30</v>
      </c>
      <c r="F102" s="11">
        <f t="shared" si="5"/>
        <v>1</v>
      </c>
      <c r="G102" s="11">
        <f t="shared" si="4"/>
        <v>87000000</v>
      </c>
    </row>
    <row r="103" spans="1:7" x14ac:dyDescent="0.25">
      <c r="A103" s="11" t="s">
        <v>1053</v>
      </c>
      <c r="B103" s="38">
        <v>295500</v>
      </c>
      <c r="C103" s="73" t="s">
        <v>1054</v>
      </c>
      <c r="D103" s="11">
        <v>15</v>
      </c>
      <c r="E103" s="11">
        <f t="shared" si="6"/>
        <v>30</v>
      </c>
      <c r="F103" s="11">
        <f t="shared" si="5"/>
        <v>1</v>
      </c>
      <c r="G103" s="11">
        <f t="shared" si="4"/>
        <v>8569500</v>
      </c>
    </row>
    <row r="104" spans="1:7" x14ac:dyDescent="0.25">
      <c r="A104" s="11" t="s">
        <v>933</v>
      </c>
      <c r="B104" s="38">
        <v>-10000</v>
      </c>
      <c r="C104" s="73" t="s">
        <v>939</v>
      </c>
      <c r="D104" s="11">
        <v>6</v>
      </c>
      <c r="E104" s="11">
        <f t="shared" si="6"/>
        <v>15</v>
      </c>
      <c r="F104" s="11">
        <f t="shared" si="5"/>
        <v>0</v>
      </c>
      <c r="G104" s="11">
        <f t="shared" si="4"/>
        <v>-150000</v>
      </c>
    </row>
    <row r="105" spans="1:7" x14ac:dyDescent="0.25">
      <c r="A105" s="11" t="s">
        <v>941</v>
      </c>
      <c r="B105" s="38">
        <v>1999000</v>
      </c>
      <c r="C105" s="73" t="s">
        <v>942</v>
      </c>
      <c r="D105" s="11">
        <v>5</v>
      </c>
      <c r="E105" s="11">
        <f t="shared" si="6"/>
        <v>9</v>
      </c>
      <c r="F105" s="11">
        <f t="shared" si="5"/>
        <v>1</v>
      </c>
      <c r="G105" s="11">
        <f t="shared" si="4"/>
        <v>15992000</v>
      </c>
    </row>
    <row r="106" spans="1:7" x14ac:dyDescent="0.25">
      <c r="A106" s="11" t="s">
        <v>960</v>
      </c>
      <c r="B106" s="38">
        <v>-60000000</v>
      </c>
      <c r="C106" s="73" t="s">
        <v>1047</v>
      </c>
      <c r="D106" s="11">
        <v>0</v>
      </c>
      <c r="E106" s="11">
        <f t="shared" si="6"/>
        <v>4</v>
      </c>
      <c r="F106" s="11">
        <f t="shared" si="5"/>
        <v>0</v>
      </c>
      <c r="G106" s="11">
        <f t="shared" si="4"/>
        <v>-240000000</v>
      </c>
    </row>
    <row r="107" spans="1:7" x14ac:dyDescent="0.25">
      <c r="A107" s="11" t="s">
        <v>960</v>
      </c>
      <c r="B107" s="38">
        <v>5850000</v>
      </c>
      <c r="C107" s="73" t="s">
        <v>1051</v>
      </c>
      <c r="D107" s="11">
        <v>1</v>
      </c>
      <c r="E107" s="11">
        <f t="shared" si="6"/>
        <v>4</v>
      </c>
      <c r="F107" s="11">
        <f t="shared" si="5"/>
        <v>1</v>
      </c>
      <c r="G107" s="11">
        <f t="shared" si="4"/>
        <v>17550000</v>
      </c>
    </row>
    <row r="108" spans="1:7" x14ac:dyDescent="0.25">
      <c r="A108" s="11" t="s">
        <v>1058</v>
      </c>
      <c r="B108" s="38">
        <v>3000000</v>
      </c>
      <c r="C108" s="73" t="s">
        <v>1068</v>
      </c>
      <c r="D108" s="11">
        <v>1</v>
      </c>
      <c r="E108" s="11">
        <f t="shared" si="6"/>
        <v>3</v>
      </c>
      <c r="F108" s="11">
        <f t="shared" si="5"/>
        <v>1</v>
      </c>
      <c r="G108" s="11">
        <f t="shared" si="4"/>
        <v>6000000</v>
      </c>
    </row>
    <row r="109" spans="1:7" x14ac:dyDescent="0.25">
      <c r="A109" s="11" t="s">
        <v>1069</v>
      </c>
      <c r="B109" s="38">
        <v>2000000</v>
      </c>
      <c r="C109" s="73" t="s">
        <v>1068</v>
      </c>
      <c r="D109" s="11">
        <v>0</v>
      </c>
      <c r="E109" s="11">
        <f t="shared" si="6"/>
        <v>2</v>
      </c>
      <c r="F109" s="11">
        <f t="shared" si="5"/>
        <v>1</v>
      </c>
      <c r="G109" s="11">
        <f t="shared" si="4"/>
        <v>2000000</v>
      </c>
    </row>
    <row r="110" spans="1:7" x14ac:dyDescent="0.25">
      <c r="A110" s="11" t="s">
        <v>1069</v>
      </c>
      <c r="B110" s="38">
        <v>-5000000</v>
      </c>
      <c r="C110" s="73" t="s">
        <v>1047</v>
      </c>
      <c r="D110" s="11">
        <v>1</v>
      </c>
      <c r="E110" s="11">
        <f t="shared" si="6"/>
        <v>2</v>
      </c>
      <c r="F110" s="11">
        <f t="shared" si="5"/>
        <v>0</v>
      </c>
      <c r="G110" s="11">
        <f t="shared" si="4"/>
        <v>-10000000</v>
      </c>
    </row>
    <row r="111" spans="1:7" x14ac:dyDescent="0.25">
      <c r="A111" s="11" t="s">
        <v>1077</v>
      </c>
      <c r="B111" s="38">
        <v>412668</v>
      </c>
      <c r="C111" s="73" t="s">
        <v>1078</v>
      </c>
      <c r="D111" s="11">
        <v>1</v>
      </c>
      <c r="E111" s="11">
        <f t="shared" si="6"/>
        <v>1</v>
      </c>
      <c r="F111" s="11">
        <f t="shared" si="5"/>
        <v>1</v>
      </c>
      <c r="G111" s="11">
        <f t="shared" si="4"/>
        <v>0</v>
      </c>
    </row>
    <row r="112" spans="1:7" x14ac:dyDescent="0.25">
      <c r="A112" s="11"/>
      <c r="B112" s="38"/>
      <c r="C112" s="73"/>
      <c r="D112" s="11">
        <v>0</v>
      </c>
      <c r="E112" s="11">
        <f t="shared" si="6"/>
        <v>0</v>
      </c>
      <c r="F112" s="11">
        <f t="shared" si="5"/>
        <v>0</v>
      </c>
      <c r="G112" s="11">
        <f t="shared" si="4"/>
        <v>0</v>
      </c>
    </row>
    <row r="113" spans="1:7" x14ac:dyDescent="0.25">
      <c r="A113" s="11"/>
      <c r="B113" s="38"/>
      <c r="C113" s="73"/>
      <c r="D113" s="11">
        <v>0</v>
      </c>
      <c r="E113" s="11">
        <f t="shared" si="6"/>
        <v>0</v>
      </c>
      <c r="F113" s="11">
        <f t="shared" si="5"/>
        <v>0</v>
      </c>
      <c r="G113" s="11">
        <f t="shared" si="4"/>
        <v>0</v>
      </c>
    </row>
    <row r="114" spans="1:7" x14ac:dyDescent="0.25">
      <c r="A114" s="11"/>
      <c r="B114" s="38"/>
      <c r="C114" s="73"/>
      <c r="D114" s="11">
        <v>0</v>
      </c>
      <c r="E114" s="11">
        <f t="shared" si="6"/>
        <v>0</v>
      </c>
      <c r="F114" s="11">
        <f t="shared" si="5"/>
        <v>0</v>
      </c>
      <c r="G114" s="11">
        <f t="shared" si="4"/>
        <v>0</v>
      </c>
    </row>
    <row r="115" spans="1:7" x14ac:dyDescent="0.25">
      <c r="A115" s="11" t="s">
        <v>25</v>
      </c>
      <c r="B115" s="38"/>
      <c r="C115" s="73"/>
      <c r="D115" s="11">
        <v>0</v>
      </c>
      <c r="E115" s="11">
        <f t="shared" si="6"/>
        <v>0</v>
      </c>
      <c r="F115" s="11">
        <f t="shared" si="5"/>
        <v>0</v>
      </c>
      <c r="G115" s="11">
        <f t="shared" si="4"/>
        <v>0</v>
      </c>
    </row>
    <row r="116" spans="1:7" x14ac:dyDescent="0.25">
      <c r="A116" s="11"/>
      <c r="B116" s="38"/>
      <c r="C116" s="73"/>
      <c r="D116" s="11">
        <v>0</v>
      </c>
      <c r="E116" s="11">
        <f t="shared" si="6"/>
        <v>0</v>
      </c>
      <c r="F116" s="11">
        <f t="shared" si="5"/>
        <v>0</v>
      </c>
      <c r="G116" s="11">
        <f t="shared" si="4"/>
        <v>0</v>
      </c>
    </row>
    <row r="117" spans="1:7" x14ac:dyDescent="0.25">
      <c r="A117" s="11"/>
      <c r="B117" s="38"/>
      <c r="C117" s="73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7727461</v>
      </c>
      <c r="C127" s="11"/>
      <c r="D127" s="11"/>
      <c r="E127" s="11"/>
      <c r="F127" s="11"/>
      <c r="G127" s="29">
        <f>SUM(G2:G126)</f>
        <v>21013625559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44146272.182773106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874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575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899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908</v>
      </c>
      <c r="B4" s="39">
        <v>294852</v>
      </c>
      <c r="C4" s="39">
        <v>74657</v>
      </c>
      <c r="D4" s="35">
        <f t="shared" si="0"/>
        <v>220195</v>
      </c>
      <c r="E4" s="23" t="s">
        <v>918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901</v>
      </c>
      <c r="G31" s="9" t="s">
        <v>406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902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919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920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933</v>
      </c>
      <c r="B4" s="18">
        <v>-10000</v>
      </c>
      <c r="C4" s="18">
        <v>-5000</v>
      </c>
      <c r="D4" s="3">
        <f t="shared" si="0"/>
        <v>-5000</v>
      </c>
      <c r="E4" s="11" t="s">
        <v>939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960</v>
      </c>
      <c r="B5" s="18">
        <v>-27000000</v>
      </c>
      <c r="C5" s="18">
        <v>0</v>
      </c>
      <c r="D5" s="3">
        <f t="shared" si="0"/>
        <v>-27000000</v>
      </c>
      <c r="E5" s="20" t="s">
        <v>1048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1077</v>
      </c>
      <c r="B6" s="18">
        <v>252436</v>
      </c>
      <c r="C6" s="18">
        <v>65510</v>
      </c>
      <c r="D6" s="3">
        <f t="shared" si="0"/>
        <v>186926</v>
      </c>
      <c r="E6" s="19" t="s">
        <v>1079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921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951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1046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1067</v>
      </c>
    </row>
    <row r="36" spans="4:17" x14ac:dyDescent="0.25">
      <c r="D36" s="42">
        <v>245000</v>
      </c>
      <c r="E36" s="41" t="s">
        <v>1067</v>
      </c>
    </row>
    <row r="37" spans="4:17" x14ac:dyDescent="0.25">
      <c r="D37" s="7">
        <v>-25000</v>
      </c>
      <c r="E37" s="41" t="s">
        <v>1071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6"/>
  <sheetViews>
    <sheetView topLeftCell="D1" zoomScaleNormal="100" workbookViewId="0">
      <pane ySplit="1" topLeftCell="A23" activePane="bottomLeft" state="frozen"/>
      <selection pane="bottomLeft" activeCell="M29" sqref="M29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4.7109375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7" width="14.140625" bestFit="1" customWidth="1"/>
    <col min="18" max="18" width="22.85546875" customWidth="1"/>
    <col min="19" max="19" width="16.140625" bestFit="1" customWidth="1"/>
    <col min="20" max="20" width="37" bestFit="1" customWidth="1"/>
    <col min="21" max="21" width="10.85546875" bestFit="1" customWidth="1"/>
    <col min="22" max="22" width="8.28515625" bestFit="1" customWidth="1"/>
    <col min="23" max="23" width="17.85546875" bestFit="1" customWidth="1"/>
    <col min="24" max="24" width="26.140625" customWidth="1"/>
    <col min="25" max="25" width="18.42578125" bestFit="1" customWidth="1"/>
    <col min="26" max="27" width="15.140625" bestFit="1" customWidth="1"/>
    <col min="28" max="28" width="18.5703125" customWidth="1"/>
    <col min="29" max="29" width="17.28515625" bestFit="1" customWidth="1"/>
    <col min="30" max="30" width="17.5703125" bestFit="1" customWidth="1"/>
    <col min="31" max="31" width="16.28515625" customWidth="1"/>
    <col min="32" max="32" width="15.140625" bestFit="1" customWidth="1"/>
    <col min="33" max="33" width="16.140625" bestFit="1" customWidth="1"/>
  </cols>
  <sheetData>
    <row r="1" spans="1:33" x14ac:dyDescent="0.25">
      <c r="A1" s="11" t="s">
        <v>966</v>
      </c>
      <c r="B1" s="11" t="s">
        <v>963</v>
      </c>
      <c r="C1" s="11" t="s">
        <v>964</v>
      </c>
      <c r="D1" s="11" t="s">
        <v>975</v>
      </c>
      <c r="E1" s="11" t="s">
        <v>977</v>
      </c>
      <c r="F1" s="11" t="s">
        <v>967</v>
      </c>
      <c r="G1" s="11" t="s">
        <v>183</v>
      </c>
      <c r="H1" s="11" t="s">
        <v>982</v>
      </c>
      <c r="I1" s="11" t="s">
        <v>972</v>
      </c>
      <c r="J1" s="11" t="s">
        <v>978</v>
      </c>
      <c r="K1" s="11" t="s">
        <v>979</v>
      </c>
      <c r="L1" s="11" t="s">
        <v>973</v>
      </c>
      <c r="M1" s="11" t="s">
        <v>980</v>
      </c>
      <c r="N1" s="11" t="s">
        <v>5</v>
      </c>
      <c r="O1" s="11" t="s">
        <v>484</v>
      </c>
      <c r="P1" s="11" t="s">
        <v>39</v>
      </c>
      <c r="Q1" s="11" t="s">
        <v>1055</v>
      </c>
      <c r="R1" s="11" t="s">
        <v>983</v>
      </c>
      <c r="S1" s="74" t="s">
        <v>1073</v>
      </c>
      <c r="AB1" s="11" t="s">
        <v>982</v>
      </c>
      <c r="AC1" s="25"/>
    </row>
    <row r="2" spans="1:33" x14ac:dyDescent="0.25">
      <c r="A2" s="76" t="s">
        <v>952</v>
      </c>
      <c r="B2" s="76" t="s">
        <v>974</v>
      </c>
      <c r="C2" s="76">
        <v>400</v>
      </c>
      <c r="D2" s="76" t="s">
        <v>61</v>
      </c>
      <c r="E2" s="77">
        <v>96959</v>
      </c>
      <c r="F2" s="77">
        <v>39275391</v>
      </c>
      <c r="G2" s="76">
        <v>0</v>
      </c>
      <c r="H2" s="76">
        <v>21</v>
      </c>
      <c r="I2" s="77">
        <f t="shared" ref="I2:I32" si="0">F2*G2*($AB$2-H2)/(36500)</f>
        <v>0</v>
      </c>
      <c r="J2" s="76">
        <v>7.2499999999999995E-2</v>
      </c>
      <c r="K2" s="77">
        <f t="shared" ref="K2:K11" si="1">C2*E2*J2/100</f>
        <v>28118.11</v>
      </c>
      <c r="L2" s="76">
        <f>(E2*(1+J2/100)+I2/C2)/(1-J3/100)-(S2/C2)*(G2/365)*($AB$2/100)</f>
        <v>97099.692552100285</v>
      </c>
      <c r="M2" s="76"/>
      <c r="N2" s="76"/>
      <c r="O2" s="76"/>
      <c r="P2" s="76"/>
      <c r="Q2" s="76"/>
      <c r="R2" s="76"/>
      <c r="S2" s="77">
        <f>C2*E2+K2-F2</f>
        <v>-463672.8900000006</v>
      </c>
      <c r="AB2" s="11">
        <v>22</v>
      </c>
      <c r="AC2" s="25"/>
    </row>
    <row r="3" spans="1:33" x14ac:dyDescent="0.25">
      <c r="A3" s="76" t="s">
        <v>952</v>
      </c>
      <c r="B3" s="76" t="s">
        <v>974</v>
      </c>
      <c r="C3" s="76">
        <v>400</v>
      </c>
      <c r="D3" s="76" t="s">
        <v>976</v>
      </c>
      <c r="E3" s="77">
        <v>99999</v>
      </c>
      <c r="F3" s="77">
        <v>40434473</v>
      </c>
      <c r="G3" s="76"/>
      <c r="H3" s="76">
        <v>21</v>
      </c>
      <c r="I3" s="77">
        <f t="shared" si="0"/>
        <v>0</v>
      </c>
      <c r="J3" s="76">
        <v>7.2499999999999995E-2</v>
      </c>
      <c r="K3" s="77">
        <f t="shared" si="1"/>
        <v>28999.71</v>
      </c>
      <c r="L3" s="76">
        <v>1</v>
      </c>
      <c r="M3" s="78">
        <f>F3-F2</f>
        <v>1159082</v>
      </c>
      <c r="N3" s="76">
        <v>400</v>
      </c>
      <c r="O3" s="76">
        <f>C2-N3</f>
        <v>0</v>
      </c>
      <c r="P3" s="78">
        <f>M3*N3/C2</f>
        <v>1159082</v>
      </c>
      <c r="Q3" s="78">
        <f>M3*O3/C2</f>
        <v>0</v>
      </c>
      <c r="R3" s="76"/>
      <c r="S3" s="77">
        <f>-C3*E3+K3+F3</f>
        <v>463872.71000000089</v>
      </c>
      <c r="U3" s="82" t="s">
        <v>180</v>
      </c>
      <c r="V3" s="82" t="s">
        <v>969</v>
      </c>
      <c r="W3" s="82" t="s">
        <v>267</v>
      </c>
      <c r="X3" s="82" t="s">
        <v>8</v>
      </c>
      <c r="Y3" s="82" t="s">
        <v>5</v>
      </c>
      <c r="Z3" s="82" t="s">
        <v>484</v>
      </c>
      <c r="AA3" s="82" t="s">
        <v>183</v>
      </c>
      <c r="AB3" s="82" t="s">
        <v>970</v>
      </c>
      <c r="AC3" s="82" t="s">
        <v>1061</v>
      </c>
      <c r="AD3" s="82" t="s">
        <v>1062</v>
      </c>
      <c r="AE3" s="82" t="s">
        <v>1063</v>
      </c>
      <c r="AF3" s="82" t="s">
        <v>1064</v>
      </c>
      <c r="AG3" s="82" t="s">
        <v>971</v>
      </c>
    </row>
    <row r="4" spans="1:33" x14ac:dyDescent="0.25">
      <c r="A4" s="79" t="s">
        <v>952</v>
      </c>
      <c r="B4" s="79" t="s">
        <v>965</v>
      </c>
      <c r="C4" s="79">
        <v>3</v>
      </c>
      <c r="D4" s="79" t="s">
        <v>61</v>
      </c>
      <c r="E4" s="80">
        <v>80100</v>
      </c>
      <c r="F4" s="80">
        <v>240474</v>
      </c>
      <c r="G4" s="79">
        <v>5</v>
      </c>
      <c r="H4" s="79">
        <v>0</v>
      </c>
      <c r="I4" s="80">
        <f>F4*G4*($AB$2-H4)/(36500)</f>
        <v>724.71616438356159</v>
      </c>
      <c r="J4" s="79">
        <v>7.2499999999999995E-2</v>
      </c>
      <c r="K4" s="80">
        <f t="shared" si="1"/>
        <v>174.2175</v>
      </c>
      <c r="L4" s="79">
        <f>(E4*(1+J4/100)+I4/C4)/(1-J5/100)-(S4/C4)*(G4/365)*($AB$2/100)</f>
        <v>80457.976587820696</v>
      </c>
      <c r="M4" s="81"/>
      <c r="N4" s="79"/>
      <c r="O4" s="79"/>
      <c r="P4" s="81"/>
      <c r="Q4" s="81"/>
      <c r="R4" s="79"/>
      <c r="S4" s="80">
        <v>0</v>
      </c>
      <c r="U4" s="82" t="s">
        <v>952</v>
      </c>
      <c r="V4" s="82" t="s">
        <v>962</v>
      </c>
      <c r="W4" s="85">
        <v>80500000</v>
      </c>
      <c r="X4" s="82" t="s">
        <v>676</v>
      </c>
      <c r="Y4" s="85">
        <v>80500000</v>
      </c>
      <c r="Z4" s="86">
        <f>W4-Y4</f>
        <v>0</v>
      </c>
      <c r="AA4" s="82">
        <f>Z18+Z19</f>
        <v>14</v>
      </c>
      <c r="AB4" s="85">
        <f t="shared" ref="AB4:AB10" si="2">W4*AA4*$AB$2/(365*100)</f>
        <v>679287.67123287672</v>
      </c>
      <c r="AC4" s="85">
        <f>AB4</f>
        <v>679287.67123287672</v>
      </c>
      <c r="AD4" s="85">
        <v>0</v>
      </c>
      <c r="AE4" s="85">
        <f>Y4+AC4</f>
        <v>81179287.671232879</v>
      </c>
      <c r="AF4" s="85">
        <f>Z4+AD4</f>
        <v>0</v>
      </c>
      <c r="AG4" s="86">
        <f t="shared" ref="AG4:AG9" si="3">W4+AB4</f>
        <v>81179287.671232879</v>
      </c>
    </row>
    <row r="5" spans="1:33" x14ac:dyDescent="0.25">
      <c r="A5" s="79" t="s">
        <v>1058</v>
      </c>
      <c r="B5" s="79" t="s">
        <v>965</v>
      </c>
      <c r="C5" s="79">
        <v>3</v>
      </c>
      <c r="D5" s="79" t="s">
        <v>976</v>
      </c>
      <c r="E5" s="80">
        <v>81000</v>
      </c>
      <c r="F5" s="80">
        <v>243596</v>
      </c>
      <c r="G5" s="79">
        <v>0</v>
      </c>
      <c r="H5" s="79">
        <v>0</v>
      </c>
      <c r="I5" s="80"/>
      <c r="J5" s="79">
        <v>7.2499999999999995E-2</v>
      </c>
      <c r="K5" s="80">
        <f t="shared" si="1"/>
        <v>176.17500000000001</v>
      </c>
      <c r="L5" s="79">
        <v>8</v>
      </c>
      <c r="M5" s="81">
        <f>F5-F4</f>
        <v>3122</v>
      </c>
      <c r="N5" s="79">
        <v>1.5</v>
      </c>
      <c r="O5" s="79">
        <v>1.5</v>
      </c>
      <c r="P5" s="81">
        <f>M5*N5/C4</f>
        <v>1561</v>
      </c>
      <c r="Q5" s="81">
        <f>M5*O5/C4</f>
        <v>1561</v>
      </c>
      <c r="R5" s="79"/>
      <c r="S5" s="80">
        <v>0</v>
      </c>
      <c r="U5" s="82" t="s">
        <v>960</v>
      </c>
      <c r="V5" s="82" t="s">
        <v>962</v>
      </c>
      <c r="W5" s="85">
        <v>87000000</v>
      </c>
      <c r="X5" s="82" t="s">
        <v>1044</v>
      </c>
      <c r="Y5" s="85">
        <v>0</v>
      </c>
      <c r="Z5" s="86">
        <f t="shared" ref="Z5:Z8" si="4">W5-Y5</f>
        <v>87000000</v>
      </c>
      <c r="AA5" s="82">
        <f>AA4-4</f>
        <v>10</v>
      </c>
      <c r="AB5" s="85">
        <f t="shared" si="2"/>
        <v>524383.56164383562</v>
      </c>
      <c r="AC5" s="85">
        <v>0</v>
      </c>
      <c r="AD5" s="85">
        <f>AB5</f>
        <v>524383.56164383562</v>
      </c>
      <c r="AE5" s="85">
        <f t="shared" ref="AE5:AE11" si="5">Y5+AC5</f>
        <v>0</v>
      </c>
      <c r="AF5" s="85">
        <f t="shared" ref="AF5:AF11" si="6">Z5+AD5</f>
        <v>87524383.561643839</v>
      </c>
      <c r="AG5" s="86">
        <f t="shared" si="3"/>
        <v>87524383.561643839</v>
      </c>
    </row>
    <row r="6" spans="1:33" x14ac:dyDescent="0.25">
      <c r="A6" s="76" t="s">
        <v>952</v>
      </c>
      <c r="B6" s="76" t="s">
        <v>965</v>
      </c>
      <c r="C6" s="76">
        <v>497</v>
      </c>
      <c r="D6" s="76" t="s">
        <v>61</v>
      </c>
      <c r="E6" s="77">
        <v>80100</v>
      </c>
      <c r="F6" s="77">
        <v>39838611</v>
      </c>
      <c r="G6" s="76">
        <v>6</v>
      </c>
      <c r="H6" s="76">
        <v>0</v>
      </c>
      <c r="I6" s="77">
        <f>F6*G6*($AB$2-H6)/(36500)</f>
        <v>144073.88087671233</v>
      </c>
      <c r="J6" s="76">
        <v>7.2499999999999995E-2</v>
      </c>
      <c r="K6" s="77">
        <f t="shared" si="1"/>
        <v>28862.032500000001</v>
      </c>
      <c r="L6" s="76">
        <f>(E6*(1+J6/100)+I6/C6)/(1-J7/100)-(S6/C6)*(G6/365)*($AB$2/100)</f>
        <v>80506.326671095536</v>
      </c>
      <c r="M6" s="76"/>
      <c r="N6" s="76"/>
      <c r="O6" s="76"/>
      <c r="P6" s="76"/>
      <c r="Q6" s="76"/>
      <c r="R6" s="77">
        <v>81000</v>
      </c>
      <c r="S6" s="77">
        <v>0</v>
      </c>
      <c r="U6" s="82" t="s">
        <v>1058</v>
      </c>
      <c r="V6" s="82" t="s">
        <v>962</v>
      </c>
      <c r="W6" s="85">
        <v>1100000</v>
      </c>
      <c r="X6" s="82" t="s">
        <v>676</v>
      </c>
      <c r="Y6" s="85">
        <v>1100000</v>
      </c>
      <c r="Z6" s="86">
        <f t="shared" si="4"/>
        <v>0</v>
      </c>
      <c r="AA6" s="82">
        <f>AA5-1</f>
        <v>9</v>
      </c>
      <c r="AB6" s="85">
        <f t="shared" si="2"/>
        <v>5967.1232876712329</v>
      </c>
      <c r="AC6" s="85">
        <f>AB6</f>
        <v>5967.1232876712329</v>
      </c>
      <c r="AD6" s="85">
        <v>0</v>
      </c>
      <c r="AE6" s="85">
        <f t="shared" si="5"/>
        <v>1105967.1232876712</v>
      </c>
      <c r="AF6" s="85">
        <f t="shared" si="6"/>
        <v>0</v>
      </c>
      <c r="AG6" s="86">
        <f t="shared" si="3"/>
        <v>1105967.1232876712</v>
      </c>
    </row>
    <row r="7" spans="1:33" x14ac:dyDescent="0.25">
      <c r="A7" s="76" t="s">
        <v>1069</v>
      </c>
      <c r="B7" s="76" t="s">
        <v>965</v>
      </c>
      <c r="C7" s="76">
        <v>497</v>
      </c>
      <c r="D7" s="76" t="s">
        <v>976</v>
      </c>
      <c r="E7" s="77">
        <v>81400</v>
      </c>
      <c r="F7" s="77">
        <v>40426469</v>
      </c>
      <c r="G7" s="76">
        <v>0</v>
      </c>
      <c r="H7" s="76">
        <v>0</v>
      </c>
      <c r="I7" s="77">
        <f>F7*G7*($AB$2-H7)/(36500)</f>
        <v>0</v>
      </c>
      <c r="J7" s="76">
        <v>7.2499999999999995E-2</v>
      </c>
      <c r="K7" s="77">
        <f t="shared" si="1"/>
        <v>29330.455000000002</v>
      </c>
      <c r="L7" s="76">
        <v>9</v>
      </c>
      <c r="M7" s="78">
        <f>F7-F6</f>
        <v>587858</v>
      </c>
      <c r="N7" s="76">
        <v>248.5</v>
      </c>
      <c r="O7" s="76">
        <f>C6-N7</f>
        <v>248.5</v>
      </c>
      <c r="P7" s="78">
        <f>M7*N7/C6</f>
        <v>293929</v>
      </c>
      <c r="Q7" s="78">
        <f>M7*O7/C6</f>
        <v>293929</v>
      </c>
      <c r="R7" s="76"/>
      <c r="S7" s="77">
        <v>0</v>
      </c>
      <c r="U7" s="82" t="s">
        <v>1069</v>
      </c>
      <c r="V7" s="82" t="s">
        <v>962</v>
      </c>
      <c r="W7" s="85">
        <v>10000000</v>
      </c>
      <c r="X7" s="82" t="s">
        <v>1072</v>
      </c>
      <c r="Y7" s="85">
        <v>5000000</v>
      </c>
      <c r="Z7" s="86">
        <f t="shared" si="4"/>
        <v>5000000</v>
      </c>
      <c r="AA7" s="82">
        <f>AA6-1</f>
        <v>8</v>
      </c>
      <c r="AB7" s="85">
        <f t="shared" si="2"/>
        <v>48219.178082191778</v>
      </c>
      <c r="AC7" s="85">
        <f>AB7/2</f>
        <v>24109.589041095889</v>
      </c>
      <c r="AD7" s="85">
        <f>AB7-AC7</f>
        <v>24109.589041095889</v>
      </c>
      <c r="AE7" s="85">
        <f t="shared" si="5"/>
        <v>5024109.5890410962</v>
      </c>
      <c r="AF7" s="85">
        <f t="shared" si="6"/>
        <v>5024109.5890410962</v>
      </c>
      <c r="AG7" s="86">
        <f t="shared" si="3"/>
        <v>10048219.178082192</v>
      </c>
    </row>
    <row r="8" spans="1:33" x14ac:dyDescent="0.25">
      <c r="A8" s="79" t="s">
        <v>961</v>
      </c>
      <c r="B8" s="79" t="s">
        <v>981</v>
      </c>
      <c r="C8" s="79">
        <v>300</v>
      </c>
      <c r="D8" s="79" t="s">
        <v>61</v>
      </c>
      <c r="E8" s="80">
        <v>97219</v>
      </c>
      <c r="F8" s="80">
        <v>29203853</v>
      </c>
      <c r="G8" s="79">
        <v>3</v>
      </c>
      <c r="H8" s="79">
        <v>21</v>
      </c>
      <c r="I8" s="80">
        <f t="shared" si="0"/>
        <v>2400.3166849315066</v>
      </c>
      <c r="J8" s="79">
        <v>7.2499999999999995E-2</v>
      </c>
      <c r="K8" s="80">
        <f t="shared" si="1"/>
        <v>21145.1325</v>
      </c>
      <c r="L8" s="79">
        <f>(E8*(1+J8/100)+I8/C8)/(1-J9/100)-(S8/C8)*(G8/365)*($AB$2/100)</f>
        <v>97368.179199387931</v>
      </c>
      <c r="M8" s="79"/>
      <c r="N8" s="79"/>
      <c r="O8" s="79"/>
      <c r="P8" s="79"/>
      <c r="Q8" s="79"/>
      <c r="R8" s="80"/>
      <c r="S8" s="80">
        <f t="shared" ref="S8" si="7">C8*E8+K8-F8</f>
        <v>-17007.867499999702</v>
      </c>
      <c r="U8" s="82"/>
      <c r="V8" s="82"/>
      <c r="W8" s="85"/>
      <c r="X8" s="82"/>
      <c r="Y8" s="82">
        <v>0</v>
      </c>
      <c r="Z8" s="86">
        <f t="shared" si="4"/>
        <v>0</v>
      </c>
      <c r="AA8" s="82">
        <f>AA7-7</f>
        <v>1</v>
      </c>
      <c r="AB8" s="85">
        <f t="shared" si="2"/>
        <v>0</v>
      </c>
      <c r="AC8" s="85"/>
      <c r="AD8" s="85"/>
      <c r="AE8" s="85">
        <f t="shared" si="5"/>
        <v>0</v>
      </c>
      <c r="AF8" s="85">
        <f t="shared" si="6"/>
        <v>0</v>
      </c>
      <c r="AG8" s="86">
        <f t="shared" si="3"/>
        <v>0</v>
      </c>
    </row>
    <row r="9" spans="1:33" x14ac:dyDescent="0.25">
      <c r="A9" s="79" t="s">
        <v>960</v>
      </c>
      <c r="B9" s="79" t="s">
        <v>981</v>
      </c>
      <c r="C9" s="79">
        <v>300</v>
      </c>
      <c r="D9" s="79" t="s">
        <v>976</v>
      </c>
      <c r="E9" s="80">
        <v>98000</v>
      </c>
      <c r="F9" s="80">
        <v>29446055</v>
      </c>
      <c r="G9" s="79">
        <v>0</v>
      </c>
      <c r="H9" s="79">
        <v>0</v>
      </c>
      <c r="I9" s="80">
        <f t="shared" si="0"/>
        <v>0</v>
      </c>
      <c r="J9" s="79">
        <v>7.2499999999999995E-2</v>
      </c>
      <c r="K9" s="80">
        <f t="shared" si="1"/>
        <v>21315</v>
      </c>
      <c r="L9" s="79">
        <v>2</v>
      </c>
      <c r="M9" s="81">
        <f>F9-F8</f>
        <v>242202</v>
      </c>
      <c r="N9" s="79">
        <v>300</v>
      </c>
      <c r="O9" s="79">
        <f>C8-N9</f>
        <v>0</v>
      </c>
      <c r="P9" s="81">
        <f>M9*N9/C8</f>
        <v>242202</v>
      </c>
      <c r="Q9" s="81">
        <f>M9*O9/C8</f>
        <v>0</v>
      </c>
      <c r="R9" s="80"/>
      <c r="S9" s="80">
        <f t="shared" ref="S9" si="8">-C9*E9+K9+F9</f>
        <v>67370</v>
      </c>
      <c r="U9" s="82"/>
      <c r="V9" s="82"/>
      <c r="W9" s="85"/>
      <c r="X9" s="82"/>
      <c r="Y9" s="82"/>
      <c r="Z9" s="82"/>
      <c r="AA9" s="82"/>
      <c r="AB9" s="85">
        <f t="shared" si="2"/>
        <v>0</v>
      </c>
      <c r="AC9" s="85"/>
      <c r="AD9" s="85"/>
      <c r="AE9" s="85">
        <f t="shared" si="5"/>
        <v>0</v>
      </c>
      <c r="AF9" s="85">
        <f t="shared" si="6"/>
        <v>0</v>
      </c>
      <c r="AG9" s="86">
        <f t="shared" si="3"/>
        <v>0</v>
      </c>
    </row>
    <row r="10" spans="1:33" x14ac:dyDescent="0.25">
      <c r="A10" s="76" t="s">
        <v>961</v>
      </c>
      <c r="B10" s="76" t="s">
        <v>981</v>
      </c>
      <c r="C10" s="76">
        <v>100</v>
      </c>
      <c r="D10" s="76" t="s">
        <v>61</v>
      </c>
      <c r="E10" s="77">
        <v>97219</v>
      </c>
      <c r="F10" s="77">
        <v>9734617</v>
      </c>
      <c r="G10" s="76">
        <v>5</v>
      </c>
      <c r="H10" s="76">
        <v>21</v>
      </c>
      <c r="I10" s="77">
        <f>F10*G10*($AB$2-H10)/(36500)</f>
        <v>1333.5091780821917</v>
      </c>
      <c r="J10" s="76">
        <v>7.2499999999999995E-2</v>
      </c>
      <c r="K10" s="77">
        <f t="shared" si="1"/>
        <v>7048.3774999999996</v>
      </c>
      <c r="L10" s="76">
        <f>(E10*(1+J10/100)+I10/C10)/(1-J11/100)-(S10/C10)*(G10/365)*($AB$2/100)</f>
        <v>97373.585427558937</v>
      </c>
      <c r="M10" s="76"/>
      <c r="N10" s="76"/>
      <c r="O10" s="76"/>
      <c r="P10" s="78"/>
      <c r="Q10" s="78"/>
      <c r="R10" s="76"/>
      <c r="S10" s="77">
        <f t="shared" ref="S10" si="9">C10*E10+K10-F10</f>
        <v>-5668.6225000005215</v>
      </c>
      <c r="U10" s="82"/>
      <c r="V10" s="82"/>
      <c r="W10" s="85"/>
      <c r="X10" s="82"/>
      <c r="Y10" s="82"/>
      <c r="Z10" s="82"/>
      <c r="AA10" s="82"/>
      <c r="AB10" s="85">
        <f t="shared" si="2"/>
        <v>0</v>
      </c>
      <c r="AC10" s="85"/>
      <c r="AD10" s="85"/>
      <c r="AE10" s="85">
        <f t="shared" si="5"/>
        <v>0</v>
      </c>
      <c r="AF10" s="85">
        <f t="shared" si="6"/>
        <v>0</v>
      </c>
      <c r="AG10" s="82"/>
    </row>
    <row r="11" spans="1:33" x14ac:dyDescent="0.25">
      <c r="A11" s="76" t="s">
        <v>1069</v>
      </c>
      <c r="B11" s="76" t="s">
        <v>981</v>
      </c>
      <c r="C11" s="76">
        <v>100</v>
      </c>
      <c r="D11" s="76" t="s">
        <v>976</v>
      </c>
      <c r="E11" s="77">
        <v>99500</v>
      </c>
      <c r="F11" s="77">
        <v>9976490</v>
      </c>
      <c r="G11" s="76">
        <v>0</v>
      </c>
      <c r="H11" s="76"/>
      <c r="I11" s="77"/>
      <c r="J11" s="76">
        <v>7.2499999999999995E-2</v>
      </c>
      <c r="K11" s="77">
        <f t="shared" si="1"/>
        <v>7213.75</v>
      </c>
      <c r="L11" s="76">
        <v>13</v>
      </c>
      <c r="M11" s="78">
        <f>F11-F10</f>
        <v>241873</v>
      </c>
      <c r="N11" s="76">
        <v>50</v>
      </c>
      <c r="O11" s="76">
        <v>50</v>
      </c>
      <c r="P11" s="78">
        <f>M11*N11/C10</f>
        <v>120936.5</v>
      </c>
      <c r="Q11" s="78">
        <f>M11*O11/C10</f>
        <v>120936.5</v>
      </c>
      <c r="R11" s="76"/>
      <c r="S11" s="77">
        <f t="shared" ref="S11" si="10">-C11*E11+K11+F11</f>
        <v>33703.75</v>
      </c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5">
        <f t="shared" si="5"/>
        <v>0</v>
      </c>
      <c r="AF11" s="85">
        <f t="shared" si="6"/>
        <v>0</v>
      </c>
      <c r="AG11" s="82"/>
    </row>
    <row r="12" spans="1:33" x14ac:dyDescent="0.25">
      <c r="A12" s="79" t="s">
        <v>960</v>
      </c>
      <c r="B12" s="79" t="s">
        <v>1045</v>
      </c>
      <c r="C12" s="79">
        <v>200</v>
      </c>
      <c r="D12" s="79" t="s">
        <v>61</v>
      </c>
      <c r="E12" s="80">
        <v>70000</v>
      </c>
      <c r="F12" s="80">
        <v>14010149</v>
      </c>
      <c r="G12" s="79">
        <v>0</v>
      </c>
      <c r="H12" s="79">
        <v>0</v>
      </c>
      <c r="I12" s="80">
        <f t="shared" si="0"/>
        <v>0</v>
      </c>
      <c r="J12" s="79">
        <v>7.2499999999999995E-2</v>
      </c>
      <c r="K12" s="80">
        <f t="shared" ref="K12:K35" si="11">C12*E12*J12/100</f>
        <v>10149.999999999998</v>
      </c>
      <c r="L12" s="79">
        <f>(E12*(1+J12/100)+I12/C12)/(1-J13/100)-(S12/C12)*(G12/365)*($AB$2/100)</f>
        <v>70101.573640889648</v>
      </c>
      <c r="M12" s="79"/>
      <c r="N12" s="79"/>
      <c r="O12" s="79"/>
      <c r="P12" s="79"/>
      <c r="Q12" s="79"/>
      <c r="R12" s="79"/>
      <c r="S12" s="80">
        <v>0</v>
      </c>
      <c r="U12" s="82"/>
      <c r="V12" s="82"/>
      <c r="W12" s="86">
        <f>SUM(W4:W10)</f>
        <v>178600000</v>
      </c>
      <c r="X12" s="82"/>
      <c r="Y12" s="85">
        <f>SUM(Y4:Y10)</f>
        <v>86600000</v>
      </c>
      <c r="Z12" s="86">
        <f>SUM(Z4:Z9)</f>
        <v>92000000</v>
      </c>
      <c r="AA12" s="82"/>
      <c r="AB12" s="86">
        <f>SUM(AB4:AB10)</f>
        <v>1257857.5342465756</v>
      </c>
      <c r="AC12" s="86">
        <f>SUM(AC4:AC10)</f>
        <v>709364.38356164389</v>
      </c>
      <c r="AD12" s="86">
        <f>SUM(AD4:AD10)</f>
        <v>548493.15068493155</v>
      </c>
      <c r="AE12" s="86">
        <f>SUM(AE4:AE11)</f>
        <v>87309364.383561656</v>
      </c>
      <c r="AF12" s="86">
        <f>SUM(AF4:AF11)</f>
        <v>92548493.150684938</v>
      </c>
      <c r="AG12" s="86">
        <f>SUM(AG4:AG10)</f>
        <v>179857857.53424659</v>
      </c>
    </row>
    <row r="13" spans="1:33" x14ac:dyDescent="0.25">
      <c r="A13" s="79" t="s">
        <v>960</v>
      </c>
      <c r="B13" s="79" t="s">
        <v>1045</v>
      </c>
      <c r="C13" s="79">
        <v>200</v>
      </c>
      <c r="D13" s="79" t="s">
        <v>976</v>
      </c>
      <c r="E13" s="80">
        <v>70488</v>
      </c>
      <c r="F13" s="80">
        <v>14087559</v>
      </c>
      <c r="G13" s="79">
        <v>0</v>
      </c>
      <c r="H13" s="79">
        <v>0</v>
      </c>
      <c r="I13" s="80">
        <f t="shared" si="0"/>
        <v>0</v>
      </c>
      <c r="J13" s="79">
        <v>7.2499999999999995E-2</v>
      </c>
      <c r="K13" s="80">
        <f t="shared" si="11"/>
        <v>10220.759999999998</v>
      </c>
      <c r="L13" s="79">
        <v>3</v>
      </c>
      <c r="M13" s="81">
        <f>F13-F12</f>
        <v>77410</v>
      </c>
      <c r="N13" s="79">
        <v>100</v>
      </c>
      <c r="O13" s="79">
        <f>C12-N13</f>
        <v>100</v>
      </c>
      <c r="P13" s="81">
        <f>M13*N13/C12</f>
        <v>38705</v>
      </c>
      <c r="Q13" s="81">
        <f>M13*O13/C12</f>
        <v>38705</v>
      </c>
      <c r="R13" s="79"/>
      <c r="S13" s="80">
        <v>0</v>
      </c>
    </row>
    <row r="14" spans="1:33" x14ac:dyDescent="0.25">
      <c r="A14" s="76" t="s">
        <v>960</v>
      </c>
      <c r="B14" s="76" t="s">
        <v>991</v>
      </c>
      <c r="C14" s="76">
        <v>200</v>
      </c>
      <c r="D14" s="76" t="s">
        <v>61</v>
      </c>
      <c r="E14" s="77">
        <v>83000</v>
      </c>
      <c r="F14" s="77">
        <v>17464390</v>
      </c>
      <c r="G14" s="76">
        <v>0</v>
      </c>
      <c r="H14" s="76">
        <v>15</v>
      </c>
      <c r="I14" s="77">
        <f t="shared" si="0"/>
        <v>0</v>
      </c>
      <c r="J14" s="76">
        <v>7.2499999999999995E-2</v>
      </c>
      <c r="K14" s="77">
        <f t="shared" si="11"/>
        <v>12035</v>
      </c>
      <c r="L14" s="76">
        <f>(E14*(1+J14/100)+I14/C14)/(1-J15/100)-(S14/C14)*(G14/365)*($AB$2/100)</f>
        <v>83120.437317054864</v>
      </c>
      <c r="M14" s="76"/>
      <c r="N14" s="76"/>
      <c r="O14" s="76"/>
      <c r="P14" s="76"/>
      <c r="Q14" s="76"/>
      <c r="R14" s="76"/>
      <c r="S14" s="77">
        <f t="shared" ref="S14" si="12">C14*E14+K14-F14</f>
        <v>-852355</v>
      </c>
      <c r="Z14" t="s">
        <v>756</v>
      </c>
      <c r="AA14" t="s">
        <v>453</v>
      </c>
    </row>
    <row r="15" spans="1:33" x14ac:dyDescent="0.25">
      <c r="A15" s="76" t="s">
        <v>960</v>
      </c>
      <c r="B15" s="76" t="s">
        <v>991</v>
      </c>
      <c r="C15" s="76">
        <v>200</v>
      </c>
      <c r="D15" s="76" t="s">
        <v>976</v>
      </c>
      <c r="E15" s="77">
        <v>83399</v>
      </c>
      <c r="F15" s="77">
        <v>17520183</v>
      </c>
      <c r="G15" s="76">
        <v>0</v>
      </c>
      <c r="H15" s="76">
        <v>15</v>
      </c>
      <c r="I15" s="77">
        <f t="shared" si="0"/>
        <v>0</v>
      </c>
      <c r="J15" s="76">
        <v>7.2499999999999995E-2</v>
      </c>
      <c r="K15" s="77">
        <f t="shared" si="11"/>
        <v>12092.855</v>
      </c>
      <c r="L15" s="76">
        <v>4</v>
      </c>
      <c r="M15" s="78">
        <f>F15-F14</f>
        <v>55793</v>
      </c>
      <c r="N15" s="76">
        <v>100</v>
      </c>
      <c r="O15" s="76">
        <f>C14-N15</f>
        <v>100</v>
      </c>
      <c r="P15" s="78">
        <f>M15*N15/C14</f>
        <v>27896.5</v>
      </c>
      <c r="Q15" s="78">
        <f>M15*O15/C14</f>
        <v>27896.5</v>
      </c>
      <c r="R15" s="76"/>
      <c r="S15" s="77">
        <f t="shared" ref="S15" si="13">-C15*E15+K15+F15</f>
        <v>852475.85500000045</v>
      </c>
      <c r="Y15" t="s">
        <v>1065</v>
      </c>
      <c r="Z15" s="7">
        <f>Z12+Q69</f>
        <v>93896004</v>
      </c>
      <c r="AA15" s="7">
        <f>Y12+P69</f>
        <v>89897288</v>
      </c>
    </row>
    <row r="16" spans="1:33" x14ac:dyDescent="0.25">
      <c r="A16" s="79" t="s">
        <v>960</v>
      </c>
      <c r="B16" s="79" t="s">
        <v>974</v>
      </c>
      <c r="C16" s="79">
        <v>100</v>
      </c>
      <c r="D16" s="79" t="s">
        <v>61</v>
      </c>
      <c r="E16" s="80">
        <v>97328</v>
      </c>
      <c r="F16" s="80">
        <v>9878211</v>
      </c>
      <c r="G16" s="79">
        <v>2</v>
      </c>
      <c r="H16" s="79">
        <v>21</v>
      </c>
      <c r="I16" s="80">
        <f>F16*G16*($AB$2-H16)/(36500)</f>
        <v>541.27183561643835</v>
      </c>
      <c r="J16" s="79">
        <v>7.2499999999999995E-2</v>
      </c>
      <c r="K16" s="80">
        <f t="shared" ref="K16:K21" si="14">C16*E16*J16/100</f>
        <v>7056.28</v>
      </c>
      <c r="L16" s="79">
        <f>(E16*(1+J16/100)+I16/C16)/(1-J17/100)-(S16/C16)*(G16/365)*($AB$2/100)</f>
        <v>97476.312473437632</v>
      </c>
      <c r="M16" s="81"/>
      <c r="N16" s="79"/>
      <c r="O16" s="79"/>
      <c r="P16" s="81"/>
      <c r="Q16" s="81"/>
      <c r="R16" s="79"/>
      <c r="S16" s="80">
        <f t="shared" ref="S16" si="15">C16*E16+K16-F16</f>
        <v>-138354.72000000067</v>
      </c>
      <c r="Y16" t="s">
        <v>1066</v>
      </c>
      <c r="Z16" s="7">
        <f>Z15-AF12</f>
        <v>1347510.8493150622</v>
      </c>
      <c r="AA16" s="7">
        <f>AA15-AE12</f>
        <v>2587923.6164383441</v>
      </c>
    </row>
    <row r="17" spans="1:30" x14ac:dyDescent="0.25">
      <c r="A17" s="79" t="s">
        <v>1069</v>
      </c>
      <c r="B17" s="79" t="s">
        <v>974</v>
      </c>
      <c r="C17" s="79">
        <v>100</v>
      </c>
      <c r="D17" s="79" t="s">
        <v>976</v>
      </c>
      <c r="E17" s="80">
        <v>99000</v>
      </c>
      <c r="F17" s="80">
        <v>10042365</v>
      </c>
      <c r="G17" s="79"/>
      <c r="H17" s="79"/>
      <c r="I17" s="80"/>
      <c r="J17" s="79">
        <v>7.2499999999999995E-2</v>
      </c>
      <c r="K17" s="80">
        <f t="shared" si="14"/>
        <v>7177.5</v>
      </c>
      <c r="L17" s="79">
        <v>15</v>
      </c>
      <c r="M17" s="81">
        <f>F17-F16</f>
        <v>164154</v>
      </c>
      <c r="N17" s="79">
        <v>50</v>
      </c>
      <c r="O17" s="79">
        <v>50</v>
      </c>
      <c r="P17" s="81">
        <f t="shared" ref="P17" si="16">M17*N17/C16</f>
        <v>82077</v>
      </c>
      <c r="Q17" s="81">
        <f t="shared" ref="Q17" si="17">M17*O17/C16</f>
        <v>82077</v>
      </c>
      <c r="R17" s="79"/>
      <c r="S17" s="80">
        <f t="shared" ref="S17" si="18">-C17*E17+K17+F17</f>
        <v>149542.5</v>
      </c>
    </row>
    <row r="18" spans="1:30" x14ac:dyDescent="0.25">
      <c r="A18" s="76" t="s">
        <v>960</v>
      </c>
      <c r="B18" s="76" t="s">
        <v>974</v>
      </c>
      <c r="C18" s="76">
        <v>100</v>
      </c>
      <c r="D18" s="76" t="s">
        <v>61</v>
      </c>
      <c r="E18" s="77">
        <v>97328</v>
      </c>
      <c r="F18" s="77">
        <v>9878211</v>
      </c>
      <c r="G18" s="76">
        <v>2</v>
      </c>
      <c r="H18" s="76">
        <v>21</v>
      </c>
      <c r="I18" s="77">
        <f>F18*G18*($AB$2-H18)/(36500)</f>
        <v>541.27183561643835</v>
      </c>
      <c r="J18" s="76">
        <v>7.2499999999999995E-2</v>
      </c>
      <c r="K18" s="77">
        <f t="shared" si="14"/>
        <v>7056.28</v>
      </c>
      <c r="L18" s="76">
        <f>(E18*(1+J18/100)+I18/C18)/(1-J19/100)-(S18/C18)*(G18/365)*($AB$2/100)</f>
        <v>97476.312473437632</v>
      </c>
      <c r="M18" s="78"/>
      <c r="N18" s="76"/>
      <c r="O18" s="76"/>
      <c r="P18" s="78"/>
      <c r="Q18" s="78"/>
      <c r="R18" s="76"/>
      <c r="S18" s="77">
        <f t="shared" ref="S18" si="19">C18*E18+K18-F18</f>
        <v>-138354.72000000067</v>
      </c>
      <c r="Y18" t="s">
        <v>1099</v>
      </c>
      <c r="Z18">
        <v>8</v>
      </c>
    </row>
    <row r="19" spans="1:30" x14ac:dyDescent="0.25">
      <c r="A19" s="76" t="s">
        <v>1069</v>
      </c>
      <c r="B19" s="76" t="s">
        <v>974</v>
      </c>
      <c r="C19" s="76">
        <v>100</v>
      </c>
      <c r="D19" s="76" t="s">
        <v>976</v>
      </c>
      <c r="E19" s="77">
        <v>99998</v>
      </c>
      <c r="F19" s="77">
        <v>10142183</v>
      </c>
      <c r="G19" s="76"/>
      <c r="H19" s="76"/>
      <c r="I19" s="77"/>
      <c r="J19" s="76">
        <v>7.2499999999999995E-2</v>
      </c>
      <c r="K19" s="77">
        <f t="shared" si="14"/>
        <v>7249.8549999999996</v>
      </c>
      <c r="L19" s="76">
        <v>17</v>
      </c>
      <c r="M19" s="78">
        <f t="shared" ref="M19" si="20">F19-F18</f>
        <v>263972</v>
      </c>
      <c r="N19" s="76">
        <v>50</v>
      </c>
      <c r="O19" s="76">
        <v>50</v>
      </c>
      <c r="P19" s="78">
        <f t="shared" ref="P19" si="21">M19*N19/C18</f>
        <v>131986</v>
      </c>
      <c r="Q19" s="78">
        <f t="shared" ref="Q19" si="22">M19*O19/C18</f>
        <v>131986</v>
      </c>
      <c r="R19" s="76"/>
      <c r="S19" s="77">
        <f t="shared" ref="S19" si="23">-C19*E19+K19+F19</f>
        <v>149632.85500000045</v>
      </c>
      <c r="Y19" t="s">
        <v>1100</v>
      </c>
      <c r="Z19">
        <v>6</v>
      </c>
    </row>
    <row r="20" spans="1:30" x14ac:dyDescent="0.25">
      <c r="A20" s="79" t="s">
        <v>960</v>
      </c>
      <c r="B20" s="79" t="s">
        <v>974</v>
      </c>
      <c r="C20" s="79">
        <v>200</v>
      </c>
      <c r="D20" s="79" t="s">
        <v>61</v>
      </c>
      <c r="E20" s="80">
        <v>97328</v>
      </c>
      <c r="F20" s="80">
        <v>19756422</v>
      </c>
      <c r="G20" s="79">
        <v>2</v>
      </c>
      <c r="H20" s="79">
        <v>21</v>
      </c>
      <c r="I20" s="80">
        <f>F20*G20*($AB$2-H20)/(36500)</f>
        <v>1082.5436712328767</v>
      </c>
      <c r="J20" s="79">
        <v>7.2499999999999995E-2</v>
      </c>
      <c r="K20" s="80">
        <f t="shared" si="14"/>
        <v>14112.56</v>
      </c>
      <c r="L20" s="79">
        <f>(E20*(1+J20/100)+I20/C20)/(1-J21/100)-(S20/C20)*(G20/365)*($AB$2/100)</f>
        <v>97476.312473437632</v>
      </c>
      <c r="M20" s="81"/>
      <c r="N20" s="79"/>
      <c r="O20" s="79"/>
      <c r="P20" s="81"/>
      <c r="Q20" s="81"/>
      <c r="R20" s="79"/>
      <c r="S20" s="80">
        <f t="shared" ref="S20" si="24">C20*E20+K20-F20</f>
        <v>-276709.44000000134</v>
      </c>
    </row>
    <row r="21" spans="1:30" x14ac:dyDescent="0.25">
      <c r="A21" s="79" t="s">
        <v>1069</v>
      </c>
      <c r="B21" s="79" t="s">
        <v>974</v>
      </c>
      <c r="C21" s="79">
        <v>200</v>
      </c>
      <c r="D21" s="79" t="s">
        <v>976</v>
      </c>
      <c r="E21" s="80">
        <v>99000</v>
      </c>
      <c r="F21" s="80">
        <v>20084731</v>
      </c>
      <c r="G21" s="79"/>
      <c r="H21" s="79"/>
      <c r="I21" s="80"/>
      <c r="J21" s="79">
        <v>7.2499999999999995E-2</v>
      </c>
      <c r="K21" s="80">
        <f t="shared" si="14"/>
        <v>14355</v>
      </c>
      <c r="L21" s="79">
        <v>18</v>
      </c>
      <c r="M21" s="81">
        <f t="shared" ref="M21" si="25">F21-F20</f>
        <v>328309</v>
      </c>
      <c r="N21" s="79">
        <v>100</v>
      </c>
      <c r="O21" s="79">
        <v>100</v>
      </c>
      <c r="P21" s="81">
        <f t="shared" ref="P21" si="26">M21*N21/C20</f>
        <v>164154.5</v>
      </c>
      <c r="Q21" s="81">
        <f t="shared" ref="Q21" si="27">M21*O21/C20</f>
        <v>164154.5</v>
      </c>
      <c r="R21" s="79"/>
      <c r="S21" s="80">
        <f t="shared" ref="S21" si="28">-C21*E21+K21+F21</f>
        <v>299086</v>
      </c>
    </row>
    <row r="22" spans="1:30" x14ac:dyDescent="0.25">
      <c r="A22" s="76" t="s">
        <v>960</v>
      </c>
      <c r="B22" s="76" t="s">
        <v>987</v>
      </c>
      <c r="C22" s="76">
        <v>100</v>
      </c>
      <c r="D22" s="76" t="s">
        <v>61</v>
      </c>
      <c r="E22" s="77">
        <v>97875</v>
      </c>
      <c r="F22" s="77">
        <v>10210616</v>
      </c>
      <c r="G22" s="76">
        <v>2</v>
      </c>
      <c r="H22" s="76">
        <v>21</v>
      </c>
      <c r="I22" s="77">
        <f>F22*G22*($AB$2-H22)/(36500)</f>
        <v>559.48580821917813</v>
      </c>
      <c r="J22" s="76">
        <v>7.2499999999999995E-2</v>
      </c>
      <c r="K22" s="77">
        <f t="shared" ref="K22:K23" si="29">C22*E22*J22/100</f>
        <v>7095.9375</v>
      </c>
      <c r="L22" s="76">
        <f>(E22*(1+J22/100)+I22/C22)/(1-J23/100)-(S22/C22)*(G22/365)*($AB$2/100)</f>
        <v>98027.635669411015</v>
      </c>
      <c r="M22" s="78"/>
      <c r="N22" s="76"/>
      <c r="O22" s="76"/>
      <c r="P22" s="78"/>
      <c r="Q22" s="78"/>
      <c r="R22" s="76"/>
      <c r="S22" s="77">
        <f t="shared" ref="S22" si="30">C22*E22+K22-F22</f>
        <v>-416020.0625</v>
      </c>
      <c r="W22" s="11" t="s">
        <v>984</v>
      </c>
      <c r="X22" s="11" t="s">
        <v>182</v>
      </c>
    </row>
    <row r="23" spans="1:30" x14ac:dyDescent="0.25">
      <c r="A23" s="76" t="s">
        <v>1069</v>
      </c>
      <c r="B23" s="76" t="s">
        <v>987</v>
      </c>
      <c r="C23" s="76">
        <v>100</v>
      </c>
      <c r="D23" s="76" t="s">
        <v>976</v>
      </c>
      <c r="E23" s="77">
        <v>99999</v>
      </c>
      <c r="F23" s="77">
        <v>10420633</v>
      </c>
      <c r="G23" s="76"/>
      <c r="H23" s="76"/>
      <c r="I23" s="77"/>
      <c r="J23" s="76">
        <v>7.2499999999999995E-2</v>
      </c>
      <c r="K23" s="77">
        <f t="shared" si="29"/>
        <v>7249.9274999999998</v>
      </c>
      <c r="L23" s="76">
        <v>10</v>
      </c>
      <c r="M23" s="78">
        <f>F23-F22</f>
        <v>210017</v>
      </c>
      <c r="N23" s="76">
        <v>50</v>
      </c>
      <c r="O23" s="76">
        <v>50</v>
      </c>
      <c r="P23" s="78">
        <f>M23*N23/C22</f>
        <v>105008.5</v>
      </c>
      <c r="Q23" s="78">
        <f>M23*O23/C22</f>
        <v>105008.5</v>
      </c>
      <c r="R23" s="76"/>
      <c r="S23" s="77">
        <f t="shared" ref="S23" si="31">-C23*E23+K23+F23</f>
        <v>427982.92750000022</v>
      </c>
      <c r="W23" s="11" t="s">
        <v>985</v>
      </c>
      <c r="X23" s="3">
        <v>12899899</v>
      </c>
      <c r="AD23" t="s">
        <v>25</v>
      </c>
    </row>
    <row r="24" spans="1:30" x14ac:dyDescent="0.25">
      <c r="A24" s="79" t="s">
        <v>960</v>
      </c>
      <c r="B24" s="79" t="s">
        <v>974</v>
      </c>
      <c r="C24" s="79">
        <v>300</v>
      </c>
      <c r="D24" s="79" t="s">
        <v>61</v>
      </c>
      <c r="E24" s="80">
        <v>97328</v>
      </c>
      <c r="F24" s="80">
        <v>29634633</v>
      </c>
      <c r="G24" s="79">
        <v>2</v>
      </c>
      <c r="H24" s="79">
        <v>21</v>
      </c>
      <c r="I24" s="80">
        <f>F24*G24*($AB$2-H24)/(36500)</f>
        <v>1623.8155068493152</v>
      </c>
      <c r="J24" s="79">
        <v>7.2499999999999995E-2</v>
      </c>
      <c r="K24" s="80">
        <f t="shared" ref="K24:K25" si="32">C24*E24*J24/100</f>
        <v>21168.84</v>
      </c>
      <c r="L24" s="79">
        <f>(E24*(1+J24/100)+I24/C24)/(1-J25/100)-(S24/C24)*(G24/365)*($AB$2/100)</f>
        <v>97476.312473437632</v>
      </c>
      <c r="M24" s="81"/>
      <c r="N24" s="79"/>
      <c r="O24" s="79"/>
      <c r="P24" s="81"/>
      <c r="Q24" s="81"/>
      <c r="R24" s="79"/>
      <c r="S24" s="80">
        <f t="shared" ref="S24" si="33">C24*E24+K24-F24</f>
        <v>-415064.16000000015</v>
      </c>
      <c r="W24" s="11"/>
      <c r="X24" s="3">
        <v>0</v>
      </c>
      <c r="AA24" s="7"/>
    </row>
    <row r="25" spans="1:30" x14ac:dyDescent="0.25">
      <c r="A25" s="79" t="s">
        <v>1069</v>
      </c>
      <c r="B25" s="79" t="s">
        <v>974</v>
      </c>
      <c r="C25" s="79">
        <v>300</v>
      </c>
      <c r="D25" s="79" t="s">
        <v>976</v>
      </c>
      <c r="E25" s="80">
        <v>99000</v>
      </c>
      <c r="F25" s="80">
        <v>30127096</v>
      </c>
      <c r="G25" s="79">
        <v>0</v>
      </c>
      <c r="H25" s="79"/>
      <c r="I25" s="80"/>
      <c r="J25" s="79">
        <v>7.2499999999999995E-2</v>
      </c>
      <c r="K25" s="80">
        <f t="shared" si="32"/>
        <v>21532.5</v>
      </c>
      <c r="L25" s="79">
        <v>11</v>
      </c>
      <c r="M25" s="81">
        <f>F25-F24</f>
        <v>492463</v>
      </c>
      <c r="N25" s="79">
        <v>150</v>
      </c>
      <c r="O25" s="79">
        <v>150</v>
      </c>
      <c r="P25" s="81">
        <f>M25*N25/C24</f>
        <v>246231.5</v>
      </c>
      <c r="Q25" s="81">
        <f>M25*O25/C24</f>
        <v>246231.5</v>
      </c>
      <c r="R25" s="79"/>
      <c r="S25" s="80">
        <f t="shared" ref="S25" si="34">-C25*E25+K25+F25</f>
        <v>448628.5</v>
      </c>
      <c r="W25" s="11" t="s">
        <v>991</v>
      </c>
      <c r="X25" s="3">
        <f>C56*R56*(1-J57/100)</f>
        <v>162711948.25</v>
      </c>
    </row>
    <row r="26" spans="1:30" x14ac:dyDescent="0.25">
      <c r="A26" s="76" t="s">
        <v>960</v>
      </c>
      <c r="B26" s="76" t="s">
        <v>987</v>
      </c>
      <c r="C26" s="76">
        <v>200</v>
      </c>
      <c r="D26" s="76" t="s">
        <v>61</v>
      </c>
      <c r="E26" s="77">
        <v>97875</v>
      </c>
      <c r="F26" s="77">
        <v>20421232</v>
      </c>
      <c r="G26" s="76">
        <v>2</v>
      </c>
      <c r="H26" s="76">
        <v>21</v>
      </c>
      <c r="I26" s="77">
        <f>F26*G26*($AB$2-H26)/(36500)</f>
        <v>1118.9716164383563</v>
      </c>
      <c r="J26" s="76">
        <v>7.2499999999999995E-2</v>
      </c>
      <c r="K26" s="77">
        <f>C26*E26*J26/100</f>
        <v>14191.875</v>
      </c>
      <c r="L26" s="76">
        <f>(E26*(1+J26/100)+I26/C26)/(1-J27/100)-(S26/C26)*(G26/365)*($AB$2/100)</f>
        <v>98027.635669411015</v>
      </c>
      <c r="M26" s="78"/>
      <c r="N26" s="76"/>
      <c r="O26" s="76"/>
      <c r="P26" s="78"/>
      <c r="Q26" s="78"/>
      <c r="R26" s="76"/>
      <c r="S26" s="77">
        <f t="shared" ref="S26" si="35">C26*E26+K26-F26</f>
        <v>-832040.125</v>
      </c>
      <c r="W26" s="11"/>
      <c r="X26" s="3">
        <v>0</v>
      </c>
    </row>
    <row r="27" spans="1:30" x14ac:dyDescent="0.25">
      <c r="A27" s="76" t="s">
        <v>1069</v>
      </c>
      <c r="B27" s="76" t="s">
        <v>987</v>
      </c>
      <c r="C27" s="76">
        <v>200</v>
      </c>
      <c r="D27" s="76" t="s">
        <v>976</v>
      </c>
      <c r="E27" s="77">
        <v>99999</v>
      </c>
      <c r="F27" s="77">
        <v>20841265</v>
      </c>
      <c r="G27" s="76"/>
      <c r="H27" s="76"/>
      <c r="I27" s="77"/>
      <c r="J27" s="76">
        <v>7.2499999999999995E-2</v>
      </c>
      <c r="K27" s="77">
        <f>C27*E27*J27/100</f>
        <v>14499.855</v>
      </c>
      <c r="L27" s="76">
        <v>12</v>
      </c>
      <c r="M27" s="78">
        <f>F27-F26</f>
        <v>420033</v>
      </c>
      <c r="N27" s="76">
        <v>100</v>
      </c>
      <c r="O27" s="76">
        <v>100</v>
      </c>
      <c r="P27" s="78">
        <f>M27*N27/C26</f>
        <v>210016.5</v>
      </c>
      <c r="Q27" s="78">
        <f>M27*O27/C26</f>
        <v>210016.5</v>
      </c>
      <c r="R27" s="76"/>
      <c r="S27" s="77">
        <f t="shared" ref="S27" si="36">-C27*E27+K27+F27</f>
        <v>855964.85500000045</v>
      </c>
      <c r="W27" s="11"/>
      <c r="X27" s="3">
        <v>0</v>
      </c>
      <c r="AA27" t="s">
        <v>25</v>
      </c>
    </row>
    <row r="28" spans="1:30" x14ac:dyDescent="0.25">
      <c r="A28" s="91" t="s">
        <v>960</v>
      </c>
      <c r="B28" s="91" t="s">
        <v>987</v>
      </c>
      <c r="C28" s="91">
        <v>100</v>
      </c>
      <c r="D28" s="91" t="s">
        <v>61</v>
      </c>
      <c r="E28" s="92">
        <v>97875</v>
      </c>
      <c r="F28" s="92">
        <v>10210616</v>
      </c>
      <c r="G28" s="91">
        <v>8</v>
      </c>
      <c r="H28" s="91">
        <v>21</v>
      </c>
      <c r="I28" s="92">
        <f>F28*G28*($AB$2-H28)/(36500)</f>
        <v>2237.9432328767125</v>
      </c>
      <c r="J28" s="91">
        <v>7.2499999999999995E-2</v>
      </c>
      <c r="K28" s="92">
        <f>C28*E28*J28/100</f>
        <v>7095.9375</v>
      </c>
      <c r="L28" s="91">
        <f>(E28*(1+J28/100)+I28/C28)/(1-J29/100)-(S28/C28)*(G28/365)*($AB$2/100)</f>
        <v>98059.477530412303</v>
      </c>
      <c r="M28" s="91"/>
      <c r="N28" s="91"/>
      <c r="O28" s="91"/>
      <c r="P28" s="91"/>
      <c r="Q28" s="91"/>
      <c r="R28" s="92"/>
      <c r="S28" s="92">
        <f t="shared" ref="S28" si="37">C28*E28+K28-F28</f>
        <v>-416020.0625</v>
      </c>
      <c r="W28" s="11" t="s">
        <v>1074</v>
      </c>
      <c r="X28" s="3">
        <v>8812000</v>
      </c>
    </row>
    <row r="29" spans="1:30" x14ac:dyDescent="0.25">
      <c r="A29" s="91" t="s">
        <v>1109</v>
      </c>
      <c r="B29" s="91" t="s">
        <v>987</v>
      </c>
      <c r="C29" s="91">
        <v>100</v>
      </c>
      <c r="D29" s="91" t="s">
        <v>976</v>
      </c>
      <c r="E29" s="92">
        <v>99999</v>
      </c>
      <c r="F29" s="92">
        <v>10456533</v>
      </c>
      <c r="G29" s="91"/>
      <c r="H29" s="91"/>
      <c r="I29" s="92">
        <f>F29*G29*($AB$2-H29)/(36500)</f>
        <v>0</v>
      </c>
      <c r="J29" s="91">
        <v>7.2499999999999995E-2</v>
      </c>
      <c r="K29" s="92">
        <f t="shared" ref="K29" si="38">C29*E29*J29/100</f>
        <v>7249.9274999999998</v>
      </c>
      <c r="L29" s="91">
        <v>16</v>
      </c>
      <c r="M29" s="92">
        <f>F29-F28</f>
        <v>245917</v>
      </c>
      <c r="N29" s="91">
        <v>50</v>
      </c>
      <c r="O29" s="91">
        <v>50</v>
      </c>
      <c r="P29" s="92">
        <f t="shared" ref="P29" si="39">M29*N29/C28</f>
        <v>122958.5</v>
      </c>
      <c r="Q29" s="92">
        <f t="shared" ref="Q29" si="40">M29*O29/C28</f>
        <v>122958.5</v>
      </c>
      <c r="R29" s="91"/>
      <c r="S29" s="92">
        <f t="shared" ref="S29" si="41">-C29*E29+K29+F29</f>
        <v>463882.92750000022</v>
      </c>
      <c r="W29" s="11"/>
      <c r="X29" s="11"/>
    </row>
    <row r="30" spans="1:30" x14ac:dyDescent="0.25">
      <c r="A30" s="79" t="s">
        <v>1058</v>
      </c>
      <c r="B30" s="79" t="s">
        <v>1045</v>
      </c>
      <c r="C30" s="79">
        <v>143</v>
      </c>
      <c r="D30" s="79" t="s">
        <v>61</v>
      </c>
      <c r="E30" s="80">
        <v>70003</v>
      </c>
      <c r="F30" s="80">
        <v>10017729</v>
      </c>
      <c r="G30" s="79">
        <v>0</v>
      </c>
      <c r="H30" s="79">
        <v>0</v>
      </c>
      <c r="I30" s="80">
        <f t="shared" si="0"/>
        <v>0</v>
      </c>
      <c r="J30" s="79">
        <v>7.2499999999999995E-2</v>
      </c>
      <c r="K30" s="80">
        <f t="shared" si="11"/>
        <v>7257.5610249999991</v>
      </c>
      <c r="L30" s="79">
        <f>(E30*(1+J30/100)+I30/C30)/(1-J31/100)-(S30/C30)*(G30/365)*($AB$2/100)</f>
        <v>70104.577994045685</v>
      </c>
      <c r="M30" s="81"/>
      <c r="N30" s="79"/>
      <c r="O30" s="79"/>
      <c r="P30" s="81"/>
      <c r="Q30" s="81"/>
      <c r="R30" s="79"/>
      <c r="S30" s="80">
        <v>0</v>
      </c>
      <c r="W30" s="11"/>
      <c r="X30" s="11"/>
    </row>
    <row r="31" spans="1:30" x14ac:dyDescent="0.25">
      <c r="A31" s="79" t="s">
        <v>1058</v>
      </c>
      <c r="B31" s="79" t="s">
        <v>1045</v>
      </c>
      <c r="C31" s="79">
        <v>143</v>
      </c>
      <c r="D31" s="79" t="s">
        <v>976</v>
      </c>
      <c r="E31" s="80">
        <v>70500</v>
      </c>
      <c r="F31" s="80">
        <v>10074191</v>
      </c>
      <c r="G31" s="79">
        <v>0</v>
      </c>
      <c r="H31" s="79">
        <v>0</v>
      </c>
      <c r="I31" s="80">
        <f t="shared" si="0"/>
        <v>0</v>
      </c>
      <c r="J31" s="79">
        <v>7.2499999999999995E-2</v>
      </c>
      <c r="K31" s="80">
        <f t="shared" si="11"/>
        <v>7309.0874999999996</v>
      </c>
      <c r="L31" s="79">
        <v>5</v>
      </c>
      <c r="M31" s="81">
        <f>F31-F30</f>
        <v>56462</v>
      </c>
      <c r="N31" s="79">
        <v>71.5</v>
      </c>
      <c r="O31" s="79">
        <f>C30-N31</f>
        <v>71.5</v>
      </c>
      <c r="P31" s="81">
        <f>M31*N31/C30</f>
        <v>28231</v>
      </c>
      <c r="Q31" s="81">
        <f>M31*O31/C30</f>
        <v>28231</v>
      </c>
      <c r="R31" s="79"/>
      <c r="S31" s="80">
        <v>0</v>
      </c>
      <c r="W31" s="11"/>
      <c r="X31" s="11"/>
    </row>
    <row r="32" spans="1:30" x14ac:dyDescent="0.25">
      <c r="A32" s="76" t="s">
        <v>1058</v>
      </c>
      <c r="B32" s="76" t="s">
        <v>965</v>
      </c>
      <c r="C32" s="76">
        <v>500</v>
      </c>
      <c r="D32" s="76" t="s">
        <v>61</v>
      </c>
      <c r="E32" s="77">
        <v>80620</v>
      </c>
      <c r="F32" s="77">
        <v>40339223</v>
      </c>
      <c r="G32" s="76">
        <v>0</v>
      </c>
      <c r="H32" s="76">
        <v>0</v>
      </c>
      <c r="I32" s="77">
        <f t="shared" si="0"/>
        <v>0</v>
      </c>
      <c r="J32" s="76">
        <v>7.2499999999999995E-2</v>
      </c>
      <c r="K32" s="77">
        <f t="shared" si="11"/>
        <v>29224.75</v>
      </c>
      <c r="L32" s="76">
        <f>(E32*(1+J32/100)+I32/C32)/(1-J33/100)-(S32/C32)*(G32/365)*($AB$2/100)</f>
        <v>80736.983813264611</v>
      </c>
      <c r="M32" s="78"/>
      <c r="N32" s="76"/>
      <c r="O32" s="76"/>
      <c r="P32" s="78"/>
      <c r="Q32" s="78"/>
      <c r="R32" s="76"/>
      <c r="S32" s="77">
        <v>0</v>
      </c>
      <c r="W32" s="11" t="s">
        <v>6</v>
      </c>
      <c r="X32" s="29">
        <f>SUM(X23:X31)</f>
        <v>184423847.25</v>
      </c>
    </row>
    <row r="33" spans="1:24" x14ac:dyDescent="0.25">
      <c r="A33" s="76" t="s">
        <v>1058</v>
      </c>
      <c r="B33" s="76" t="s">
        <v>965</v>
      </c>
      <c r="C33" s="76">
        <v>500</v>
      </c>
      <c r="D33" s="76" t="s">
        <v>976</v>
      </c>
      <c r="E33" s="77">
        <v>80980</v>
      </c>
      <c r="F33" s="77">
        <v>40460644</v>
      </c>
      <c r="G33" s="76">
        <v>0</v>
      </c>
      <c r="H33" s="76">
        <v>0</v>
      </c>
      <c r="I33" s="77"/>
      <c r="J33" s="76">
        <v>7.2499999999999995E-2</v>
      </c>
      <c r="K33" s="77">
        <f t="shared" si="11"/>
        <v>29355.25</v>
      </c>
      <c r="L33" s="76">
        <v>6</v>
      </c>
      <c r="M33" s="78">
        <f>F33-F32</f>
        <v>121421</v>
      </c>
      <c r="N33" s="76">
        <v>250</v>
      </c>
      <c r="O33" s="76">
        <v>250</v>
      </c>
      <c r="P33" s="78">
        <f>M33*N33/C32</f>
        <v>60710.5</v>
      </c>
      <c r="Q33" s="78">
        <f>M33*O33/C32</f>
        <v>60710.5</v>
      </c>
      <c r="R33" s="76"/>
      <c r="S33" s="77">
        <v>0</v>
      </c>
      <c r="W33" s="11"/>
      <c r="X33" s="11"/>
    </row>
    <row r="34" spans="1:24" x14ac:dyDescent="0.25">
      <c r="A34" s="79" t="s">
        <v>1058</v>
      </c>
      <c r="B34" s="79" t="s">
        <v>1045</v>
      </c>
      <c r="C34" s="79">
        <v>140</v>
      </c>
      <c r="D34" s="79" t="s">
        <v>1060</v>
      </c>
      <c r="E34" s="80">
        <v>70502</v>
      </c>
      <c r="F34" s="80">
        <v>9877463</v>
      </c>
      <c r="G34" s="79">
        <v>0</v>
      </c>
      <c r="H34" s="79">
        <v>0</v>
      </c>
      <c r="I34" s="80"/>
      <c r="J34" s="79">
        <v>7.2499999999999995E-2</v>
      </c>
      <c r="K34" s="80">
        <f t="shared" si="11"/>
        <v>7155.9529999999995</v>
      </c>
      <c r="L34" s="79">
        <f>(E34*(1+J34/100)+I34/C34)/(1-J35/100)-(S34/C34)*(G34/365)*($AB$2/100)</f>
        <v>70604.302069000027</v>
      </c>
      <c r="M34" s="81"/>
      <c r="N34" s="79"/>
      <c r="O34" s="79"/>
      <c r="P34" s="81"/>
      <c r="Q34" s="81"/>
      <c r="R34" s="79"/>
      <c r="S34" s="80">
        <v>0</v>
      </c>
      <c r="W34" s="11" t="s">
        <v>980</v>
      </c>
      <c r="X34" s="29">
        <f>X32-AG12</f>
        <v>4565989.7157534063</v>
      </c>
    </row>
    <row r="35" spans="1:24" x14ac:dyDescent="0.25">
      <c r="A35" s="79" t="s">
        <v>1058</v>
      </c>
      <c r="B35" s="79" t="s">
        <v>1045</v>
      </c>
      <c r="C35" s="79">
        <v>140</v>
      </c>
      <c r="D35" s="79" t="s">
        <v>976</v>
      </c>
      <c r="E35" s="80">
        <v>71186</v>
      </c>
      <c r="F35" s="80">
        <v>9958940</v>
      </c>
      <c r="G35" s="79">
        <v>0</v>
      </c>
      <c r="H35" s="79">
        <v>0</v>
      </c>
      <c r="I35" s="80"/>
      <c r="J35" s="79">
        <v>7.2499999999999995E-2</v>
      </c>
      <c r="K35" s="80">
        <f t="shared" si="11"/>
        <v>7225.378999999999</v>
      </c>
      <c r="L35" s="79">
        <v>7</v>
      </c>
      <c r="M35" s="81">
        <f>F35-F34</f>
        <v>81477</v>
      </c>
      <c r="N35" s="79">
        <v>70</v>
      </c>
      <c r="O35" s="79">
        <v>70</v>
      </c>
      <c r="P35" s="81">
        <f>M35*N35/C34</f>
        <v>40738.5</v>
      </c>
      <c r="Q35" s="81">
        <f>M35*O35/C34</f>
        <v>40738.5</v>
      </c>
      <c r="R35" s="79"/>
      <c r="S35" s="80">
        <v>0</v>
      </c>
    </row>
    <row r="36" spans="1:24" x14ac:dyDescent="0.25">
      <c r="A36" s="76" t="s">
        <v>1069</v>
      </c>
      <c r="B36" s="76" t="s">
        <v>981</v>
      </c>
      <c r="C36" s="76">
        <v>100</v>
      </c>
      <c r="D36" s="76" t="s">
        <v>61</v>
      </c>
      <c r="E36" s="77">
        <v>99000</v>
      </c>
      <c r="F36" s="77">
        <v>9940881</v>
      </c>
      <c r="G36" s="76">
        <v>0</v>
      </c>
      <c r="H36" s="76">
        <v>21</v>
      </c>
      <c r="I36" s="77">
        <f>F36*G36*($AB$2-H36)/(36500)</f>
        <v>0</v>
      </c>
      <c r="J36" s="76">
        <v>7.2499999999999995E-2</v>
      </c>
      <c r="K36" s="77">
        <f t="shared" ref="K36:K37" si="42">C36*E36*J36/100</f>
        <v>7177.5</v>
      </c>
      <c r="L36" s="76">
        <f>(E36*(1+J36/100)+I36/C36)/(1-J37/100)-(S36/C36)*(G36/365)*($AB$2/100)</f>
        <v>99143.654149258218</v>
      </c>
      <c r="M36" s="78"/>
      <c r="N36" s="76"/>
      <c r="O36" s="76"/>
      <c r="P36" s="78"/>
      <c r="Q36" s="78"/>
      <c r="R36" s="76"/>
      <c r="S36" s="77">
        <f t="shared" ref="S36" si="43">C36*E36+K36-F36</f>
        <v>-33703.5</v>
      </c>
    </row>
    <row r="37" spans="1:24" x14ac:dyDescent="0.25">
      <c r="A37" s="76" t="s">
        <v>1069</v>
      </c>
      <c r="B37" s="76" t="s">
        <v>981</v>
      </c>
      <c r="C37" s="76">
        <v>100</v>
      </c>
      <c r="D37" s="76" t="s">
        <v>976</v>
      </c>
      <c r="E37" s="77">
        <v>99200</v>
      </c>
      <c r="F37" s="77">
        <v>9946511</v>
      </c>
      <c r="G37" s="76"/>
      <c r="H37" s="76"/>
      <c r="I37" s="77"/>
      <c r="J37" s="76">
        <v>7.2499999999999995E-2</v>
      </c>
      <c r="K37" s="77">
        <f t="shared" si="42"/>
        <v>7192</v>
      </c>
      <c r="L37" s="76">
        <v>14</v>
      </c>
      <c r="M37" s="78">
        <f>F37-F36</f>
        <v>5630</v>
      </c>
      <c r="N37" s="76">
        <v>50</v>
      </c>
      <c r="O37" s="76">
        <v>50</v>
      </c>
      <c r="P37" s="78">
        <f>M37*N37/C36</f>
        <v>2815</v>
      </c>
      <c r="Q37" s="78">
        <f>M37*O37/C36</f>
        <v>2815</v>
      </c>
      <c r="R37" s="76"/>
      <c r="S37" s="77">
        <f>-C37*E37+K37+F37</f>
        <v>33703</v>
      </c>
    </row>
    <row r="38" spans="1:24" x14ac:dyDescent="0.25">
      <c r="A38" s="79" t="s">
        <v>1069</v>
      </c>
      <c r="B38" s="79" t="s">
        <v>988</v>
      </c>
      <c r="C38" s="79">
        <v>500</v>
      </c>
      <c r="D38" s="79" t="s">
        <v>61</v>
      </c>
      <c r="E38" s="80">
        <v>91000</v>
      </c>
      <c r="F38" s="80">
        <v>46785986</v>
      </c>
      <c r="G38" s="79">
        <v>0</v>
      </c>
      <c r="H38" s="79">
        <v>16</v>
      </c>
      <c r="I38" s="80">
        <f>F38*G38*($AB$2-H38)/(36500)</f>
        <v>0</v>
      </c>
      <c r="J38" s="79">
        <v>7.2499999999999995E-2</v>
      </c>
      <c r="K38" s="80">
        <f t="shared" ref="K38:K55" si="44">C38*E38*J38/100</f>
        <v>32987.5</v>
      </c>
      <c r="L38" s="79">
        <f>(E38*(1+J38/100)+I38/C38)/(1-J39/100)-(S38/C38)*(G38/365)*($AB$2/100)</f>
        <v>91132.045733156541</v>
      </c>
      <c r="M38" s="81"/>
      <c r="N38" s="79"/>
      <c r="O38" s="79"/>
      <c r="P38" s="81"/>
      <c r="Q38" s="81"/>
      <c r="R38" s="79"/>
      <c r="S38" s="80">
        <f t="shared" ref="S38" si="45">C38*E38+K38-F38</f>
        <v>-1252998.5</v>
      </c>
    </row>
    <row r="39" spans="1:24" x14ac:dyDescent="0.25">
      <c r="A39" s="79" t="s">
        <v>1069</v>
      </c>
      <c r="B39" s="79" t="s">
        <v>988</v>
      </c>
      <c r="C39" s="79">
        <v>500</v>
      </c>
      <c r="D39" s="79" t="s">
        <v>976</v>
      </c>
      <c r="E39" s="80">
        <v>92000</v>
      </c>
      <c r="F39" s="80">
        <v>47219599</v>
      </c>
      <c r="G39" s="79"/>
      <c r="H39" s="79"/>
      <c r="I39" s="80"/>
      <c r="J39" s="79">
        <v>7.2499999999999995E-2</v>
      </c>
      <c r="K39" s="80">
        <f t="shared" si="44"/>
        <v>33350</v>
      </c>
      <c r="L39" s="79">
        <v>16</v>
      </c>
      <c r="M39" s="81">
        <f>F39-F38</f>
        <v>433613</v>
      </c>
      <c r="N39" s="79">
        <v>250</v>
      </c>
      <c r="O39" s="79">
        <v>250</v>
      </c>
      <c r="P39" s="81">
        <f t="shared" ref="P39" si="46">M39*N39/C38</f>
        <v>216806.5</v>
      </c>
      <c r="Q39" s="81">
        <f t="shared" ref="Q39" si="47">M39*O39/C38</f>
        <v>216806.5</v>
      </c>
      <c r="R39" s="79"/>
      <c r="S39" s="80">
        <f t="shared" ref="S39" si="48">-C39*E39+K39+F39</f>
        <v>1252949</v>
      </c>
    </row>
    <row r="40" spans="1:24" x14ac:dyDescent="0.25">
      <c r="A40" s="76" t="s">
        <v>1069</v>
      </c>
      <c r="B40" s="76" t="s">
        <v>965</v>
      </c>
      <c r="C40" s="76">
        <v>8</v>
      </c>
      <c r="D40" s="77" t="s">
        <v>61</v>
      </c>
      <c r="E40" s="77">
        <v>82200</v>
      </c>
      <c r="F40" s="77">
        <v>658076</v>
      </c>
      <c r="G40" s="76">
        <v>6</v>
      </c>
      <c r="H40" s="76">
        <v>0</v>
      </c>
      <c r="I40" s="76">
        <f>F40*G40*($AB$2-H40)/(36500)</f>
        <v>2379.8912876712329</v>
      </c>
      <c r="J40" s="76">
        <v>7.2499999999999995E-2</v>
      </c>
      <c r="K40" s="76">
        <f>C40*E40*J40/100</f>
        <v>476.76</v>
      </c>
      <c r="L40" s="76">
        <f>(E40*(1+J40/100)+I40/C40)/(1-J41/100)-(S40/C40)*(G40/365)*($AB$2/100)</f>
        <v>82616.97872053129</v>
      </c>
      <c r="M40" s="76"/>
      <c r="N40" s="76"/>
      <c r="O40" s="76"/>
      <c r="P40" s="76"/>
      <c r="Q40" s="76"/>
      <c r="R40" s="77"/>
      <c r="S40" s="77">
        <v>0</v>
      </c>
    </row>
    <row r="41" spans="1:24" x14ac:dyDescent="0.25">
      <c r="A41" s="76" t="s">
        <v>1109</v>
      </c>
      <c r="B41" s="76" t="s">
        <v>965</v>
      </c>
      <c r="C41" s="76">
        <v>8</v>
      </c>
      <c r="D41" s="76" t="s">
        <v>976</v>
      </c>
      <c r="E41" s="77">
        <v>82630</v>
      </c>
      <c r="F41" s="77">
        <v>660560</v>
      </c>
      <c r="G41" s="76"/>
      <c r="H41" s="77"/>
      <c r="I41" s="76">
        <f>F41*G41*($AB$2-H41)/(36500)</f>
        <v>0</v>
      </c>
      <c r="J41" s="76">
        <v>7.2499999999999995E-2</v>
      </c>
      <c r="K41" s="76">
        <f>C41*E41*J41/100</f>
        <v>479.25399999999996</v>
      </c>
      <c r="L41" s="77">
        <v>0</v>
      </c>
      <c r="M41" s="77">
        <f t="shared" ref="M41" si="49">F41-F40</f>
        <v>2484</v>
      </c>
      <c r="N41" s="76">
        <v>4</v>
      </c>
      <c r="O41" s="77">
        <f>C40-N41</f>
        <v>4</v>
      </c>
      <c r="P41" s="77">
        <f>M41*N41/C40</f>
        <v>1242</v>
      </c>
      <c r="Q41" s="76">
        <f>M41*O41/C40</f>
        <v>1242</v>
      </c>
      <c r="R41" s="77"/>
      <c r="S41" s="77">
        <v>0</v>
      </c>
    </row>
    <row r="42" spans="1:24" x14ac:dyDescent="0.25">
      <c r="A42" s="79"/>
      <c r="B42" s="79"/>
      <c r="C42" s="79">
        <v>1</v>
      </c>
      <c r="D42" s="79"/>
      <c r="E42" s="80"/>
      <c r="F42" s="80"/>
      <c r="G42" s="79"/>
      <c r="H42" s="79"/>
      <c r="I42" s="80">
        <f>F42*G42*($AB$2-H42)/(36500)</f>
        <v>0</v>
      </c>
      <c r="J42" s="79">
        <v>7.2499999999999995E-2</v>
      </c>
      <c r="K42" s="80">
        <f t="shared" si="44"/>
        <v>0</v>
      </c>
      <c r="L42" s="79">
        <f t="shared" ref="L42:L54" si="50">(E42*(1+J42/100)+I42/C42)/(1-J43/100)</f>
        <v>0</v>
      </c>
      <c r="M42" s="81"/>
      <c r="N42" s="79"/>
      <c r="O42" s="79"/>
      <c r="P42" s="81"/>
      <c r="Q42" s="81"/>
      <c r="R42" s="79"/>
      <c r="S42" s="80">
        <f t="shared" ref="S42" si="51">C42*E42+K42-F42</f>
        <v>0</v>
      </c>
    </row>
    <row r="43" spans="1:24" x14ac:dyDescent="0.25">
      <c r="A43" s="79"/>
      <c r="B43" s="79"/>
      <c r="C43" s="79">
        <v>1</v>
      </c>
      <c r="D43" s="79"/>
      <c r="E43" s="80"/>
      <c r="F43" s="80"/>
      <c r="G43" s="79"/>
      <c r="H43" s="79"/>
      <c r="I43" s="80"/>
      <c r="J43" s="79">
        <v>7.2499999999999995E-2</v>
      </c>
      <c r="K43" s="80">
        <f t="shared" si="44"/>
        <v>0</v>
      </c>
      <c r="L43" s="79">
        <v>20</v>
      </c>
      <c r="M43" s="81">
        <f t="shared" ref="M43" si="52">F43-F42</f>
        <v>0</v>
      </c>
      <c r="N43" s="79">
        <v>50</v>
      </c>
      <c r="O43" s="79">
        <v>50</v>
      </c>
      <c r="P43" s="81">
        <f t="shared" ref="P43" si="53">M43*N43/C42</f>
        <v>0</v>
      </c>
      <c r="Q43" s="81">
        <f t="shared" ref="Q43" si="54">M43*O43/C42</f>
        <v>0</v>
      </c>
      <c r="R43" s="79"/>
      <c r="S43" s="80">
        <f t="shared" ref="S43" si="55">-C43*E43+K43+F43</f>
        <v>0</v>
      </c>
    </row>
    <row r="44" spans="1:24" x14ac:dyDescent="0.25">
      <c r="A44" s="76"/>
      <c r="B44" s="76"/>
      <c r="C44" s="76"/>
      <c r="D44" s="76"/>
      <c r="E44" s="77"/>
      <c r="F44" s="77"/>
      <c r="G44" s="76"/>
      <c r="H44" s="76"/>
      <c r="I44" s="77"/>
      <c r="J44" s="79">
        <v>7.2499999999999995E-2</v>
      </c>
      <c r="K44" s="77"/>
      <c r="L44" s="76"/>
      <c r="M44" s="78"/>
      <c r="N44" s="76"/>
      <c r="O44" s="76"/>
      <c r="P44" s="78"/>
      <c r="Q44" s="78"/>
      <c r="R44" s="76"/>
      <c r="S44" s="77"/>
    </row>
    <row r="45" spans="1:24" x14ac:dyDescent="0.25">
      <c r="A45" s="76"/>
      <c r="B45" s="76"/>
      <c r="C45" s="76"/>
      <c r="D45" s="76"/>
      <c r="E45" s="77"/>
      <c r="F45" s="77"/>
      <c r="G45" s="76"/>
      <c r="H45" s="76"/>
      <c r="I45" s="77"/>
      <c r="J45" s="79">
        <v>7.2499999999999995E-2</v>
      </c>
      <c r="K45" s="77"/>
      <c r="L45" s="76"/>
      <c r="M45" s="78"/>
      <c r="N45" s="76"/>
      <c r="O45" s="76"/>
      <c r="P45" s="78"/>
      <c r="Q45" s="78"/>
      <c r="R45" s="76"/>
      <c r="S45" s="77"/>
    </row>
    <row r="46" spans="1:24" x14ac:dyDescent="0.25">
      <c r="A46" s="79"/>
      <c r="B46" s="79"/>
      <c r="C46" s="79"/>
      <c r="D46" s="79"/>
      <c r="E46" s="80"/>
      <c r="F46" s="80"/>
      <c r="G46" s="79"/>
      <c r="H46" s="79"/>
      <c r="I46" s="80"/>
      <c r="J46" s="79">
        <v>7.2499999999999995E-2</v>
      </c>
      <c r="K46" s="80"/>
      <c r="L46" s="79"/>
      <c r="M46" s="81"/>
      <c r="N46" s="79"/>
      <c r="O46" s="79"/>
      <c r="P46" s="81"/>
      <c r="Q46" s="81"/>
      <c r="R46" s="79"/>
      <c r="S46" s="80"/>
    </row>
    <row r="47" spans="1:24" x14ac:dyDescent="0.25">
      <c r="A47" s="79"/>
      <c r="B47" s="79"/>
      <c r="C47" s="79"/>
      <c r="D47" s="79"/>
      <c r="E47" s="80"/>
      <c r="F47" s="80"/>
      <c r="G47" s="79"/>
      <c r="H47" s="79"/>
      <c r="I47" s="80"/>
      <c r="J47" s="79">
        <v>7.2499999999999995E-2</v>
      </c>
      <c r="K47" s="80"/>
      <c r="L47" s="79"/>
      <c r="M47" s="81"/>
      <c r="N47" s="79"/>
      <c r="O47" s="79"/>
      <c r="P47" s="81"/>
      <c r="Q47" s="81"/>
      <c r="R47" s="79"/>
      <c r="S47" s="80"/>
    </row>
    <row r="48" spans="1:24" x14ac:dyDescent="0.25">
      <c r="A48" s="76"/>
      <c r="B48" s="76"/>
      <c r="C48" s="76"/>
      <c r="D48" s="76"/>
      <c r="E48" s="77"/>
      <c r="F48" s="77"/>
      <c r="G48" s="76"/>
      <c r="H48" s="76"/>
      <c r="I48" s="77"/>
      <c r="J48" s="79">
        <v>7.2499999999999995E-2</v>
      </c>
      <c r="K48" s="77"/>
      <c r="L48" s="76"/>
      <c r="M48" s="78"/>
      <c r="N48" s="76"/>
      <c r="O48" s="76"/>
      <c r="P48" s="78"/>
      <c r="Q48" s="78"/>
      <c r="R48" s="76"/>
      <c r="S48" s="77"/>
      <c r="W48" t="s">
        <v>25</v>
      </c>
    </row>
    <row r="49" spans="1:20" x14ac:dyDescent="0.25">
      <c r="A49" s="76"/>
      <c r="B49" s="76"/>
      <c r="C49" s="76"/>
      <c r="D49" s="76"/>
      <c r="E49" s="77"/>
      <c r="F49" s="77"/>
      <c r="G49" s="76"/>
      <c r="H49" s="76"/>
      <c r="I49" s="77"/>
      <c r="J49" s="79">
        <v>7.2499999999999995E-2</v>
      </c>
      <c r="K49" s="77"/>
      <c r="L49" s="76"/>
      <c r="M49" s="78"/>
      <c r="N49" s="76"/>
      <c r="O49" s="76"/>
      <c r="P49" s="78"/>
      <c r="Q49" s="78"/>
      <c r="R49" s="76"/>
      <c r="S49" s="77"/>
    </row>
    <row r="50" spans="1:20" x14ac:dyDescent="0.25">
      <c r="A50" s="79"/>
      <c r="B50" s="79"/>
      <c r="C50" s="79"/>
      <c r="D50" s="79"/>
      <c r="E50" s="80"/>
      <c r="F50" s="80"/>
      <c r="G50" s="79"/>
      <c r="H50" s="79"/>
      <c r="I50" s="80"/>
      <c r="J50" s="79">
        <v>7.2499999999999995E-2</v>
      </c>
      <c r="K50" s="80"/>
      <c r="L50" s="79"/>
      <c r="M50" s="81"/>
      <c r="N50" s="79"/>
      <c r="O50" s="79"/>
      <c r="P50" s="81"/>
      <c r="Q50" s="81"/>
      <c r="R50" s="79"/>
      <c r="S50" s="80"/>
    </row>
    <row r="51" spans="1:20" x14ac:dyDescent="0.25">
      <c r="A51" s="79"/>
      <c r="B51" s="79"/>
      <c r="C51" s="79"/>
      <c r="D51" s="79"/>
      <c r="E51" s="80"/>
      <c r="F51" s="80"/>
      <c r="G51" s="79"/>
      <c r="H51" s="79"/>
      <c r="I51" s="80"/>
      <c r="J51" s="79">
        <v>7.2499999999999995E-2</v>
      </c>
      <c r="K51" s="80"/>
      <c r="L51" s="79"/>
      <c r="M51" s="81"/>
      <c r="N51" s="79"/>
      <c r="O51" s="79"/>
      <c r="P51" s="81"/>
      <c r="Q51" s="81"/>
      <c r="R51" s="79"/>
      <c r="S51" s="80"/>
    </row>
    <row r="52" spans="1:20" x14ac:dyDescent="0.25">
      <c r="A52" s="76"/>
      <c r="B52" s="76"/>
      <c r="C52" s="76">
        <v>1</v>
      </c>
      <c r="D52" s="76"/>
      <c r="E52" s="77"/>
      <c r="F52" s="77"/>
      <c r="G52" s="76"/>
      <c r="H52" s="76"/>
      <c r="I52" s="77">
        <f>F52*G52*($AB$2-H52)/(36500)</f>
        <v>0</v>
      </c>
      <c r="J52" s="76">
        <v>7.2499999999999995E-2</v>
      </c>
      <c r="K52" s="77">
        <f t="shared" si="44"/>
        <v>0</v>
      </c>
      <c r="L52" s="76">
        <f t="shared" ref="L52" si="56">(E52*(1+J52/100)+I52/C52)/(1-J53/100)</f>
        <v>0</v>
      </c>
      <c r="M52" s="78"/>
      <c r="N52" s="76"/>
      <c r="O52" s="76"/>
      <c r="P52" s="78"/>
      <c r="Q52" s="78"/>
      <c r="R52" s="76"/>
      <c r="S52" s="90">
        <f t="shared" ref="S52" si="57">C52*E52+K52-F52</f>
        <v>0</v>
      </c>
      <c r="T52" t="s">
        <v>25</v>
      </c>
    </row>
    <row r="53" spans="1:20" x14ac:dyDescent="0.25">
      <c r="A53" s="76"/>
      <c r="B53" s="76"/>
      <c r="C53" s="76">
        <v>1</v>
      </c>
      <c r="D53" s="76"/>
      <c r="E53" s="77"/>
      <c r="F53" s="77"/>
      <c r="G53" s="76"/>
      <c r="H53" s="76"/>
      <c r="I53" s="77"/>
      <c r="J53" s="76">
        <v>7.2499999999999995E-2</v>
      </c>
      <c r="K53" s="77">
        <f t="shared" si="44"/>
        <v>0</v>
      </c>
      <c r="L53" s="76">
        <v>21</v>
      </c>
      <c r="M53" s="78">
        <f t="shared" ref="M53" si="58">F53-F52</f>
        <v>0</v>
      </c>
      <c r="N53" s="76">
        <v>50</v>
      </c>
      <c r="O53" s="76">
        <v>50</v>
      </c>
      <c r="P53" s="78">
        <f t="shared" ref="P53" si="59">M53*N53/C52</f>
        <v>0</v>
      </c>
      <c r="Q53" s="78">
        <f t="shared" ref="Q53" si="60">M53*O53/C52</f>
        <v>0</v>
      </c>
      <c r="R53" s="76"/>
      <c r="S53" s="90">
        <f t="shared" ref="S53" si="61">-C53*E53+K53+F53</f>
        <v>0</v>
      </c>
    </row>
    <row r="54" spans="1:20" x14ac:dyDescent="0.25">
      <c r="A54" s="79"/>
      <c r="B54" s="79"/>
      <c r="C54" s="79">
        <v>1</v>
      </c>
      <c r="D54" s="79"/>
      <c r="E54" s="79"/>
      <c r="F54" s="79"/>
      <c r="G54" s="79"/>
      <c r="H54" s="79"/>
      <c r="I54" s="79">
        <f>F54*G54*($AB$2-H54)/(36500)</f>
        <v>0</v>
      </c>
      <c r="J54" s="79">
        <v>7.2499999999999995E-2</v>
      </c>
      <c r="K54" s="79">
        <f t="shared" si="44"/>
        <v>0</v>
      </c>
      <c r="L54" s="79">
        <f t="shared" si="50"/>
        <v>0</v>
      </c>
      <c r="M54" s="79"/>
      <c r="N54" s="79"/>
      <c r="O54" s="79"/>
      <c r="P54" s="79"/>
      <c r="Q54" s="79"/>
      <c r="R54" s="79"/>
      <c r="S54" s="80">
        <f t="shared" ref="S54" si="62">C54*E54+K54-F54</f>
        <v>0</v>
      </c>
    </row>
    <row r="55" spans="1:20" x14ac:dyDescent="0.25">
      <c r="A55" s="79"/>
      <c r="B55" s="79"/>
      <c r="C55" s="79">
        <v>1</v>
      </c>
      <c r="D55" s="79"/>
      <c r="E55" s="79"/>
      <c r="F55" s="79"/>
      <c r="G55" s="79"/>
      <c r="H55" s="79"/>
      <c r="I55" s="79"/>
      <c r="J55" s="79">
        <v>7.2499999999999995E-2</v>
      </c>
      <c r="K55" s="79">
        <f t="shared" si="44"/>
        <v>0</v>
      </c>
      <c r="L55" s="79">
        <v>22</v>
      </c>
      <c r="M55" s="79">
        <f t="shared" ref="M55" si="63">F55-F54</f>
        <v>0</v>
      </c>
      <c r="N55" s="79">
        <v>50</v>
      </c>
      <c r="O55" s="79">
        <v>50</v>
      </c>
      <c r="P55" s="79">
        <f t="shared" ref="P55" si="64">M55*N55/C54</f>
        <v>0</v>
      </c>
      <c r="Q55" s="79">
        <f t="shared" ref="Q55" si="65">M55*O55/C54</f>
        <v>0</v>
      </c>
      <c r="R55" s="79"/>
      <c r="S55" s="80">
        <f t="shared" ref="S55" si="66">-C55*E55+K55+F55</f>
        <v>0</v>
      </c>
    </row>
    <row r="56" spans="1:20" x14ac:dyDescent="0.25">
      <c r="A56" s="83" t="s">
        <v>1069</v>
      </c>
      <c r="B56" s="83" t="s">
        <v>991</v>
      </c>
      <c r="C56" s="83">
        <v>1900</v>
      </c>
      <c r="D56" s="83" t="s">
        <v>61</v>
      </c>
      <c r="E56" s="84">
        <v>85537</v>
      </c>
      <c r="F56" s="84">
        <v>170893386</v>
      </c>
      <c r="G56" s="83">
        <v>7</v>
      </c>
      <c r="H56" s="83">
        <v>15</v>
      </c>
      <c r="I56" s="84">
        <f>F56*G56*($AB$2-H56)/(36500)</f>
        <v>229418.51819178081</v>
      </c>
      <c r="J56" s="83">
        <v>7.2499999999999995E-2</v>
      </c>
      <c r="K56" s="84">
        <f>C56*E56*J56/100</f>
        <v>117827.2175</v>
      </c>
      <c r="L56" s="84">
        <f>(E56*(1+J56/100)+I56/C56)/(1-J57/100)-(S56/C56)*(G56/365)*($AB$2/100)</f>
        <v>85800.284622437961</v>
      </c>
      <c r="M56" s="83"/>
      <c r="N56" s="83"/>
      <c r="O56" s="83"/>
      <c r="P56" s="83"/>
      <c r="Q56" s="83"/>
      <c r="R56" s="84">
        <v>85700</v>
      </c>
      <c r="S56" s="14">
        <f>C56*E56+K56-F56</f>
        <v>-8255258.7824999988</v>
      </c>
      <c r="T56" t="s">
        <v>25</v>
      </c>
    </row>
    <row r="57" spans="1:20" x14ac:dyDescent="0.25">
      <c r="A57" s="83"/>
      <c r="B57" s="83"/>
      <c r="C57" s="83"/>
      <c r="D57" s="83"/>
      <c r="E57" s="83"/>
      <c r="F57" s="83"/>
      <c r="G57" s="83"/>
      <c r="H57" s="83"/>
      <c r="I57" s="84"/>
      <c r="J57" s="83">
        <v>7.2499999999999995E-2</v>
      </c>
      <c r="K57" s="83"/>
      <c r="L57" s="83"/>
      <c r="M57" s="83"/>
      <c r="N57" s="83">
        <v>950</v>
      </c>
      <c r="O57" s="83">
        <v>950</v>
      </c>
      <c r="P57" s="83"/>
      <c r="Q57" s="83"/>
      <c r="R57" s="83"/>
      <c r="S57" s="14">
        <v>8812200</v>
      </c>
    </row>
    <row r="58" spans="1:20" x14ac:dyDescent="0.25">
      <c r="A58" s="83"/>
      <c r="B58" s="83"/>
      <c r="C58" s="83"/>
      <c r="D58" s="83"/>
      <c r="E58" s="83"/>
      <c r="F58" s="83"/>
      <c r="G58" s="83"/>
      <c r="H58" s="83"/>
      <c r="I58" s="84"/>
      <c r="J58" s="83"/>
      <c r="K58" s="83"/>
      <c r="L58" s="83"/>
      <c r="M58" s="83"/>
      <c r="N58" s="83"/>
      <c r="O58" s="83"/>
      <c r="P58" s="83"/>
      <c r="Q58" s="83"/>
      <c r="R58" s="83"/>
      <c r="S58" s="14">
        <f t="shared" ref="S58" si="67">C58*E58+K58-F58</f>
        <v>0</v>
      </c>
    </row>
    <row r="59" spans="1:20" x14ac:dyDescent="0.25">
      <c r="A59" s="83"/>
      <c r="B59" s="83"/>
      <c r="C59" s="83"/>
      <c r="D59" s="83"/>
      <c r="E59" s="83"/>
      <c r="F59" s="83"/>
      <c r="G59" s="83"/>
      <c r="H59" s="83"/>
      <c r="I59" s="84"/>
      <c r="J59" s="83"/>
      <c r="K59" s="83"/>
      <c r="L59" s="83"/>
      <c r="M59" s="83"/>
      <c r="N59" s="83"/>
      <c r="O59" s="83"/>
      <c r="P59" s="83"/>
      <c r="Q59" s="83"/>
      <c r="R59" s="83"/>
      <c r="S59" s="14">
        <f t="shared" ref="S59" si="68">-C59*E59+K59+F59</f>
        <v>0</v>
      </c>
    </row>
    <row r="60" spans="1:20" x14ac:dyDescent="0.25">
      <c r="A60" s="16"/>
      <c r="B60" s="16"/>
      <c r="C60" s="16"/>
      <c r="D60" s="16"/>
      <c r="E60" s="16"/>
      <c r="F60" s="16"/>
      <c r="G60" s="16"/>
      <c r="H60" s="16"/>
      <c r="I60" s="14"/>
      <c r="J60" s="16"/>
      <c r="K60" s="16"/>
      <c r="L60" s="16"/>
      <c r="M60" s="16"/>
      <c r="N60" s="16"/>
      <c r="O60" s="16"/>
      <c r="P60" s="16"/>
      <c r="Q60" s="16"/>
      <c r="R60" s="16"/>
      <c r="S60" s="14">
        <f t="shared" ref="S60" si="69">C60*E60+K60-F60</f>
        <v>0</v>
      </c>
    </row>
    <row r="61" spans="1:20" x14ac:dyDescent="0.25">
      <c r="A61" s="16"/>
      <c r="B61" s="16"/>
      <c r="C61" s="16"/>
      <c r="D61" s="16"/>
      <c r="E61" s="16"/>
      <c r="F61" s="16"/>
      <c r="G61" s="16"/>
      <c r="H61" s="16"/>
      <c r="I61" s="14"/>
      <c r="J61" s="16"/>
      <c r="K61" s="16"/>
      <c r="L61" s="16"/>
      <c r="M61" s="16"/>
      <c r="N61" s="16"/>
      <c r="O61" s="16"/>
      <c r="P61" s="16"/>
      <c r="Q61" s="16"/>
      <c r="R61" s="16"/>
      <c r="S61" s="14">
        <f t="shared" ref="S61" si="70">-C61*E61+K61+F61</f>
        <v>0</v>
      </c>
    </row>
    <row r="62" spans="1:20" x14ac:dyDescent="0.25">
      <c r="A62" s="83"/>
      <c r="B62" s="83"/>
      <c r="C62" s="83"/>
      <c r="D62" s="83"/>
      <c r="E62" s="83"/>
      <c r="F62" s="83"/>
      <c r="G62" s="83"/>
      <c r="H62" s="83"/>
      <c r="I62" s="84"/>
      <c r="J62" s="83"/>
      <c r="K62" s="83"/>
      <c r="L62" s="83"/>
      <c r="M62" s="83"/>
      <c r="N62" s="83"/>
      <c r="O62" s="83"/>
      <c r="P62" s="83"/>
      <c r="Q62" s="83"/>
      <c r="R62" s="83"/>
      <c r="S62" s="14">
        <f t="shared" ref="S62" si="71">C62*E62+K62-F62</f>
        <v>0</v>
      </c>
    </row>
    <row r="63" spans="1:20" x14ac:dyDescent="0.25">
      <c r="A63" s="83"/>
      <c r="B63" s="83"/>
      <c r="C63" s="83"/>
      <c r="D63" s="83"/>
      <c r="E63" s="83"/>
      <c r="F63" s="83"/>
      <c r="G63" s="83"/>
      <c r="H63" s="83"/>
      <c r="I63" s="84"/>
      <c r="J63" s="83"/>
      <c r="K63" s="83"/>
      <c r="L63" s="83"/>
      <c r="M63" s="83"/>
      <c r="N63" s="83"/>
      <c r="O63" s="83"/>
      <c r="P63" s="83"/>
      <c r="Q63" s="83"/>
      <c r="R63" s="83"/>
      <c r="S63" s="14">
        <f t="shared" ref="S63" si="72">-C63*E63+K63+F63</f>
        <v>0</v>
      </c>
    </row>
    <row r="64" spans="1:20" x14ac:dyDescent="0.25">
      <c r="A64" s="83"/>
      <c r="B64" s="83"/>
      <c r="C64" s="83"/>
      <c r="D64" s="83"/>
      <c r="E64" s="83"/>
      <c r="F64" s="83"/>
      <c r="G64" s="83"/>
      <c r="H64" s="83"/>
      <c r="I64" s="84" t="s">
        <v>25</v>
      </c>
      <c r="J64" s="83"/>
      <c r="K64" s="83"/>
      <c r="L64" s="83"/>
      <c r="M64" s="83"/>
      <c r="N64" s="83"/>
      <c r="O64" s="83"/>
      <c r="P64" s="83"/>
      <c r="Q64" s="83"/>
      <c r="R64" s="83"/>
      <c r="S64" s="14">
        <f t="shared" ref="S64" si="73">C64*E64+K64-F64</f>
        <v>0</v>
      </c>
    </row>
    <row r="65" spans="1:19" x14ac:dyDescent="0.25">
      <c r="A65" s="83"/>
      <c r="B65" s="83"/>
      <c r="C65" s="83"/>
      <c r="D65" s="83"/>
      <c r="E65" s="83"/>
      <c r="F65" s="83"/>
      <c r="G65" s="83"/>
      <c r="H65" s="83"/>
      <c r="I65" s="84"/>
      <c r="J65" s="83"/>
      <c r="K65" s="83"/>
      <c r="L65" s="83"/>
      <c r="M65" s="83"/>
      <c r="N65" s="83"/>
      <c r="O65" s="83"/>
      <c r="P65" s="83"/>
      <c r="Q65" s="83"/>
      <c r="R65" s="83"/>
      <c r="S65" s="14">
        <f t="shared" ref="S65" si="74">-C65*E65+K65+F65</f>
        <v>0</v>
      </c>
    </row>
    <row r="66" spans="1:19" x14ac:dyDescent="0.25">
      <c r="A66" s="83"/>
      <c r="B66" s="83"/>
      <c r="C66" s="83"/>
      <c r="D66" s="83"/>
      <c r="E66" s="83"/>
      <c r="F66" s="83"/>
      <c r="G66" s="83"/>
      <c r="H66" s="83"/>
      <c r="I66" s="84"/>
      <c r="J66" s="83"/>
      <c r="K66" s="83"/>
      <c r="L66" s="83"/>
      <c r="M66" s="83"/>
      <c r="N66" s="83"/>
      <c r="O66" s="83"/>
      <c r="P66" s="83"/>
      <c r="Q66" s="83"/>
      <c r="R66" s="83"/>
      <c r="S66" s="14">
        <f t="shared" ref="S66" si="75">C66*E66+K66-F66</f>
        <v>0</v>
      </c>
    </row>
    <row r="67" spans="1:19" x14ac:dyDescent="0.25">
      <c r="A67" s="83"/>
      <c r="B67" s="83"/>
      <c r="C67" s="83"/>
      <c r="D67" s="83"/>
      <c r="E67" s="83"/>
      <c r="F67" s="83"/>
      <c r="G67" s="83"/>
      <c r="H67" s="83"/>
      <c r="I67" s="84"/>
      <c r="J67" s="83"/>
      <c r="K67" s="83"/>
      <c r="L67" s="83"/>
      <c r="M67" s="83"/>
      <c r="N67" s="83"/>
      <c r="O67" s="83"/>
      <c r="P67" s="83"/>
      <c r="Q67" s="83"/>
      <c r="R67" s="83"/>
      <c r="S67" s="14">
        <f t="shared" ref="S67" si="76">-C67*E67+K67+F67</f>
        <v>0</v>
      </c>
    </row>
    <row r="68" spans="1:19" x14ac:dyDescent="0.25">
      <c r="A68" s="2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82"/>
      <c r="O68" s="82"/>
      <c r="P68" s="11"/>
      <c r="Q68" s="11"/>
      <c r="R68" s="11"/>
    </row>
    <row r="69" spans="1:19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3">
        <f>SUM(M2:M67)</f>
        <v>5193292</v>
      </c>
      <c r="N69" s="11"/>
      <c r="O69" s="11"/>
      <c r="P69" s="3">
        <f>SUM(P2:P68)</f>
        <v>3297288</v>
      </c>
      <c r="Q69" s="3">
        <f>SUM(Q3:Q68)</f>
        <v>1896004</v>
      </c>
      <c r="R69" s="11"/>
    </row>
    <row r="70" spans="1:19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 t="s">
        <v>191</v>
      </c>
      <c r="N70" s="11"/>
      <c r="O70" s="11"/>
      <c r="P70" s="11" t="s">
        <v>1056</v>
      </c>
      <c r="Q70" s="11" t="s">
        <v>1057</v>
      </c>
      <c r="R70" s="11"/>
      <c r="S70" t="s">
        <v>25</v>
      </c>
    </row>
    <row r="71" spans="1:19" x14ac:dyDescent="0.25">
      <c r="A71" s="25"/>
    </row>
    <row r="72" spans="1:19" x14ac:dyDescent="0.25">
      <c r="A72" s="25"/>
    </row>
    <row r="73" spans="1:19" x14ac:dyDescent="0.25">
      <c r="F73" s="7"/>
    </row>
    <row r="84" spans="4:14" x14ac:dyDescent="0.25">
      <c r="D84" t="s">
        <v>25</v>
      </c>
    </row>
    <row r="85" spans="4:14" x14ac:dyDescent="0.25">
      <c r="G85" s="25"/>
    </row>
    <row r="86" spans="4:14" x14ac:dyDescent="0.25">
      <c r="I86" s="25"/>
    </row>
    <row r="87" spans="4:14" x14ac:dyDescent="0.25">
      <c r="I87" s="25"/>
    </row>
    <row r="88" spans="4:14" x14ac:dyDescent="0.25">
      <c r="I88" s="28"/>
    </row>
    <row r="91" spans="4:14" x14ac:dyDescent="0.25">
      <c r="N91" s="25"/>
    </row>
    <row r="92" spans="4:14" x14ac:dyDescent="0.25">
      <c r="N92" s="25"/>
    </row>
    <row r="93" spans="4:14" x14ac:dyDescent="0.25">
      <c r="N93" s="25"/>
    </row>
    <row r="94" spans="4:14" x14ac:dyDescent="0.25">
      <c r="N94" s="25"/>
    </row>
    <row r="95" spans="4:14" x14ac:dyDescent="0.25">
      <c r="N95" s="25"/>
    </row>
    <row r="96" spans="4:14" x14ac:dyDescent="0.25">
      <c r="N96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5"/>
  <sheetViews>
    <sheetView tabSelected="1" topLeftCell="C1" zoomScaleNormal="100" workbookViewId="0">
      <selection activeCell="T4" sqref="T4"/>
    </sheetView>
  </sheetViews>
  <sheetFormatPr defaultRowHeight="15" x14ac:dyDescent="0.25"/>
  <cols>
    <col min="2" max="3" width="12.42578125" bestFit="1" customWidth="1"/>
    <col min="4" max="5" width="12.42578125" customWidth="1"/>
    <col min="7" max="7" width="9" bestFit="1" customWidth="1"/>
    <col min="8" max="8" width="10.85546875" bestFit="1" customWidth="1"/>
    <col min="9" max="9" width="17.5703125" bestFit="1" customWidth="1"/>
    <col min="10" max="11" width="12.42578125" bestFit="1" customWidth="1"/>
    <col min="12" max="13" width="26" bestFit="1" customWidth="1"/>
    <col min="15" max="18" width="12.42578125" bestFit="1" customWidth="1"/>
    <col min="19" max="19" width="11.42578125" bestFit="1" customWidth="1"/>
    <col min="20" max="20" width="18.85546875" bestFit="1" customWidth="1"/>
    <col min="21" max="21" width="15.140625" bestFit="1" customWidth="1"/>
    <col min="22" max="23" width="12.42578125" bestFit="1" customWidth="1"/>
    <col min="29" max="29" width="38.42578125" bestFit="1" customWidth="1"/>
    <col min="30" max="30" width="14.5703125" bestFit="1" customWidth="1"/>
  </cols>
  <sheetData>
    <row r="1" spans="1:30" x14ac:dyDescent="0.25">
      <c r="A1" s="11" t="s">
        <v>986</v>
      </c>
      <c r="B1" s="11" t="s">
        <v>1003</v>
      </c>
      <c r="C1" s="11" t="s">
        <v>1094</v>
      </c>
      <c r="D1" s="11" t="s">
        <v>999</v>
      </c>
      <c r="E1" s="11" t="s">
        <v>1084</v>
      </c>
      <c r="F1" s="11" t="s">
        <v>1001</v>
      </c>
      <c r="G1" s="11" t="s">
        <v>1090</v>
      </c>
      <c r="H1" s="11" t="s">
        <v>1002</v>
      </c>
      <c r="I1" s="11" t="s">
        <v>1037</v>
      </c>
      <c r="J1" s="11" t="s">
        <v>1014</v>
      </c>
      <c r="K1" s="11" t="s">
        <v>968</v>
      </c>
      <c r="L1" s="69" t="s">
        <v>1089</v>
      </c>
      <c r="N1">
        <v>96</v>
      </c>
      <c r="O1">
        <v>12</v>
      </c>
      <c r="P1" s="3">
        <v>85500</v>
      </c>
      <c r="Q1" s="3">
        <f>P1</f>
        <v>85500</v>
      </c>
      <c r="R1" s="3">
        <v>0</v>
      </c>
      <c r="T1" t="s">
        <v>982</v>
      </c>
      <c r="U1" t="s">
        <v>1042</v>
      </c>
      <c r="V1" t="s">
        <v>1043</v>
      </c>
      <c r="Z1">
        <v>0.88</v>
      </c>
      <c r="AA1" t="s">
        <v>1075</v>
      </c>
      <c r="AC1" t="s">
        <v>1085</v>
      </c>
      <c r="AD1" t="s">
        <v>1086</v>
      </c>
    </row>
    <row r="2" spans="1:30" x14ac:dyDescent="0.25">
      <c r="A2" s="11" t="s">
        <v>992</v>
      </c>
      <c r="B2" s="43">
        <f t="shared" ref="B2:B29" si="0">J2/(1+($T$2-F2+G2)/36500)^E2</f>
        <v>92826.460288392773</v>
      </c>
      <c r="C2" s="43">
        <f t="shared" ref="C2:C29" si="1">J2/(1+($T$3-F2+G2)/36500)^E2</f>
        <v>93604.438064963746</v>
      </c>
      <c r="D2" s="11" t="s">
        <v>1023</v>
      </c>
      <c r="E2" s="20">
        <f>132-$U$8</f>
        <v>127</v>
      </c>
      <c r="F2" s="11">
        <v>0</v>
      </c>
      <c r="G2" s="11">
        <v>0</v>
      </c>
      <c r="H2" s="11">
        <v>0</v>
      </c>
      <c r="I2" s="20">
        <f t="shared" ref="I2:I29" si="2">E2/30.5</f>
        <v>4.1639344262295079</v>
      </c>
      <c r="J2" s="3">
        <v>100000</v>
      </c>
      <c r="K2" s="3">
        <v>92020</v>
      </c>
      <c r="L2" s="3">
        <f t="shared" ref="L2:L29" si="3">B2*(1+$T$2/36500)^E2</f>
        <v>100000</v>
      </c>
      <c r="N2">
        <v>97</v>
      </c>
      <c r="O2">
        <v>1</v>
      </c>
      <c r="P2">
        <f>$W$2</f>
        <v>1185</v>
      </c>
      <c r="Q2" s="3">
        <f>Q1*(1+($T$2+0.1875)/1200)</f>
        <v>87038.109374999985</v>
      </c>
      <c r="R2" s="3">
        <f t="shared" ref="R2:R49" si="4">P2+R1*(1+$T$2/1200)</f>
        <v>1185</v>
      </c>
      <c r="S2" t="s">
        <v>61</v>
      </c>
      <c r="T2">
        <v>21.4</v>
      </c>
      <c r="U2">
        <v>14.22</v>
      </c>
      <c r="V2" s="3">
        <v>100000</v>
      </c>
      <c r="W2">
        <f>V2*U2/(100*12)</f>
        <v>1185</v>
      </c>
      <c r="Z2">
        <v>0.78</v>
      </c>
      <c r="AA2" t="s">
        <v>1076</v>
      </c>
    </row>
    <row r="3" spans="1:30" x14ac:dyDescent="0.25">
      <c r="A3" s="16" t="s">
        <v>993</v>
      </c>
      <c r="B3" s="14">
        <f t="shared" si="0"/>
        <v>90941.568591026313</v>
      </c>
      <c r="C3" s="14">
        <f t="shared" si="1"/>
        <v>91914.919381325177</v>
      </c>
      <c r="D3" s="16" t="s">
        <v>1024</v>
      </c>
      <c r="E3" s="16">
        <f>167-$U$8</f>
        <v>162</v>
      </c>
      <c r="F3" s="16">
        <v>0</v>
      </c>
      <c r="G3" s="16">
        <v>0</v>
      </c>
      <c r="H3" s="16">
        <v>0</v>
      </c>
      <c r="I3" s="16">
        <f t="shared" si="2"/>
        <v>5.3114754098360653</v>
      </c>
      <c r="J3" s="14">
        <v>100000</v>
      </c>
      <c r="K3" s="14">
        <v>90100</v>
      </c>
      <c r="L3" s="14">
        <f t="shared" si="3"/>
        <v>99999.999999999985</v>
      </c>
      <c r="N3">
        <v>97</v>
      </c>
      <c r="O3">
        <v>2</v>
      </c>
      <c r="P3">
        <f t="shared" ref="P3" si="5">$W$2</f>
        <v>1185</v>
      </c>
      <c r="Q3" s="3">
        <f t="shared" ref="Q3:Q49" si="6">Q2*(1+($T$2+0.1875)/1200)</f>
        <v>88603.888696777314</v>
      </c>
      <c r="R3" s="3">
        <f t="shared" si="4"/>
        <v>2391.1324999999997</v>
      </c>
      <c r="S3" t="s">
        <v>976</v>
      </c>
      <c r="T3">
        <v>19</v>
      </c>
    </row>
    <row r="4" spans="1:30" x14ac:dyDescent="0.25">
      <c r="A4" s="11" t="s">
        <v>994</v>
      </c>
      <c r="B4" s="43">
        <f t="shared" si="0"/>
        <v>89408.829347247549</v>
      </c>
      <c r="C4" s="43">
        <f t="shared" si="1"/>
        <v>90538.157993280664</v>
      </c>
      <c r="D4" s="11" t="s">
        <v>1025</v>
      </c>
      <c r="E4" s="20">
        <f>196-$U$8</f>
        <v>191</v>
      </c>
      <c r="F4" s="11">
        <v>0</v>
      </c>
      <c r="G4" s="11">
        <v>0</v>
      </c>
      <c r="H4" s="11">
        <v>0</v>
      </c>
      <c r="I4" s="20">
        <f t="shared" si="2"/>
        <v>6.2622950819672134</v>
      </c>
      <c r="J4" s="3">
        <v>100000</v>
      </c>
      <c r="K4" s="3">
        <v>88600</v>
      </c>
      <c r="L4" s="3">
        <f t="shared" si="3"/>
        <v>100000</v>
      </c>
      <c r="N4">
        <v>97</v>
      </c>
      <c r="O4">
        <v>3</v>
      </c>
      <c r="P4">
        <f t="shared" ref="P4:P49" si="7">$W$2</f>
        <v>1185</v>
      </c>
      <c r="Q4" s="3">
        <f t="shared" si="6"/>
        <v>90197.835736145367</v>
      </c>
      <c r="R4" s="3">
        <f t="shared" si="4"/>
        <v>3618.7743629166666</v>
      </c>
      <c r="T4" s="87">
        <f>V2*((1+$T$2/36500)^365)</f>
        <v>123854.4983528483</v>
      </c>
      <c r="U4">
        <v>21.4</v>
      </c>
    </row>
    <row r="5" spans="1:30" x14ac:dyDescent="0.25">
      <c r="A5" s="16" t="s">
        <v>995</v>
      </c>
      <c r="B5" s="14">
        <f t="shared" si="0"/>
        <v>70515.811891394638</v>
      </c>
      <c r="C5" s="14">
        <f t="shared" si="1"/>
        <v>73332.532101996476</v>
      </c>
      <c r="D5" s="16" t="s">
        <v>1026</v>
      </c>
      <c r="E5" s="16">
        <f>601-$U$8</f>
        <v>596</v>
      </c>
      <c r="F5" s="16">
        <v>0</v>
      </c>
      <c r="G5" s="16">
        <v>0</v>
      </c>
      <c r="H5" s="16">
        <v>0</v>
      </c>
      <c r="I5" s="16">
        <f t="shared" si="2"/>
        <v>19.540983606557376</v>
      </c>
      <c r="J5" s="14">
        <v>100000</v>
      </c>
      <c r="K5" s="14">
        <v>71000</v>
      </c>
      <c r="L5" s="14">
        <f t="shared" si="3"/>
        <v>100000</v>
      </c>
      <c r="N5">
        <v>97</v>
      </c>
      <c r="O5">
        <v>4</v>
      </c>
      <c r="P5">
        <f t="shared" si="7"/>
        <v>1185</v>
      </c>
      <c r="Q5" s="3">
        <f t="shared" si="6"/>
        <v>91820.457218607058</v>
      </c>
      <c r="R5" s="3">
        <f t="shared" si="4"/>
        <v>4868.309172388681</v>
      </c>
    </row>
    <row r="6" spans="1:30" x14ac:dyDescent="0.25">
      <c r="A6" s="11" t="s">
        <v>996</v>
      </c>
      <c r="B6" s="43">
        <f t="shared" si="0"/>
        <v>85513.443101129844</v>
      </c>
      <c r="C6" s="43">
        <f t="shared" si="1"/>
        <v>87027.141962999769</v>
      </c>
      <c r="D6" s="11" t="s">
        <v>1027</v>
      </c>
      <c r="E6" s="20">
        <f>272-$U$8</f>
        <v>267</v>
      </c>
      <c r="F6" s="11">
        <v>0</v>
      </c>
      <c r="G6" s="11">
        <v>0</v>
      </c>
      <c r="H6" s="11">
        <v>0</v>
      </c>
      <c r="I6" s="20">
        <f t="shared" si="2"/>
        <v>8.7540983606557372</v>
      </c>
      <c r="J6" s="3">
        <v>100000</v>
      </c>
      <c r="K6" s="3">
        <v>84500</v>
      </c>
      <c r="L6" s="3">
        <f t="shared" si="3"/>
        <v>99999.999999999985</v>
      </c>
      <c r="N6">
        <v>97</v>
      </c>
      <c r="O6">
        <v>5</v>
      </c>
      <c r="P6">
        <f t="shared" si="7"/>
        <v>1185</v>
      </c>
      <c r="Q6" s="3">
        <f t="shared" si="6"/>
        <v>93472.268985445946</v>
      </c>
      <c r="R6" s="3">
        <f t="shared" si="4"/>
        <v>6140.1273526296127</v>
      </c>
    </row>
    <row r="7" spans="1:30" x14ac:dyDescent="0.25">
      <c r="A7" s="16" t="s">
        <v>997</v>
      </c>
      <c r="B7" s="14">
        <f t="shared" si="0"/>
        <v>71682.639728955313</v>
      </c>
      <c r="C7" s="14">
        <f t="shared" si="1"/>
        <v>74408.924078837372</v>
      </c>
      <c r="D7" s="16" t="s">
        <v>1028</v>
      </c>
      <c r="E7" s="16">
        <f>573-$U$8</f>
        <v>568</v>
      </c>
      <c r="F7" s="16">
        <v>0</v>
      </c>
      <c r="G7" s="16">
        <v>0</v>
      </c>
      <c r="H7" s="16">
        <v>0</v>
      </c>
      <c r="I7" s="16">
        <f t="shared" si="2"/>
        <v>18.622950819672131</v>
      </c>
      <c r="J7" s="14">
        <v>100000</v>
      </c>
      <c r="K7" s="14">
        <v>71000</v>
      </c>
      <c r="L7" s="14">
        <f t="shared" si="3"/>
        <v>100000</v>
      </c>
      <c r="N7">
        <v>97</v>
      </c>
      <c r="O7">
        <v>6</v>
      </c>
      <c r="P7">
        <f t="shared" si="7"/>
        <v>1185</v>
      </c>
      <c r="Q7" s="3">
        <f t="shared" si="6"/>
        <v>95153.796157715362</v>
      </c>
      <c r="R7" s="3">
        <f t="shared" si="4"/>
        <v>7434.626290418174</v>
      </c>
      <c r="T7" t="s">
        <v>1038</v>
      </c>
      <c r="U7" t="s">
        <v>1083</v>
      </c>
    </row>
    <row r="8" spans="1:30" x14ac:dyDescent="0.25">
      <c r="A8" s="11" t="s">
        <v>998</v>
      </c>
      <c r="B8" s="43">
        <f t="shared" si="0"/>
        <v>84814.606884714827</v>
      </c>
      <c r="C8" s="43">
        <f t="shared" si="1"/>
        <v>86395.38598965283</v>
      </c>
      <c r="D8" s="11" t="s">
        <v>1030</v>
      </c>
      <c r="E8" s="20">
        <f>286-$U$8</f>
        <v>281</v>
      </c>
      <c r="F8" s="11">
        <v>0</v>
      </c>
      <c r="G8" s="11">
        <v>0</v>
      </c>
      <c r="H8" s="11">
        <v>0</v>
      </c>
      <c r="I8" s="20">
        <f t="shared" si="2"/>
        <v>9.2131147540983598</v>
      </c>
      <c r="J8" s="3">
        <v>100000</v>
      </c>
      <c r="K8" s="3">
        <v>84000</v>
      </c>
      <c r="L8" s="3">
        <f t="shared" si="3"/>
        <v>100000</v>
      </c>
      <c r="N8">
        <v>97</v>
      </c>
      <c r="O8">
        <v>7</v>
      </c>
      <c r="P8">
        <f t="shared" si="7"/>
        <v>1185</v>
      </c>
      <c r="Q8" s="3">
        <f t="shared" si="6"/>
        <v>96865.573303177589</v>
      </c>
      <c r="R8" s="3">
        <f t="shared" si="4"/>
        <v>8752.2104592639662</v>
      </c>
      <c r="T8" t="s">
        <v>1092</v>
      </c>
      <c r="U8">
        <v>5</v>
      </c>
    </row>
    <row r="9" spans="1:30" x14ac:dyDescent="0.25">
      <c r="A9" s="16" t="s">
        <v>1015</v>
      </c>
      <c r="B9" s="14">
        <f t="shared" si="0"/>
        <v>76188.159924427819</v>
      </c>
      <c r="C9" s="14">
        <f t="shared" si="1"/>
        <v>78547.126534991767</v>
      </c>
      <c r="D9" s="16" t="s">
        <v>1029</v>
      </c>
      <c r="E9" s="16">
        <f>469-$U$8</f>
        <v>464</v>
      </c>
      <c r="F9" s="16">
        <v>0</v>
      </c>
      <c r="G9" s="16">
        <v>0</v>
      </c>
      <c r="H9" s="16">
        <v>0</v>
      </c>
      <c r="I9" s="16">
        <f t="shared" si="2"/>
        <v>15.21311475409836</v>
      </c>
      <c r="J9" s="14">
        <v>100000</v>
      </c>
      <c r="K9" s="14">
        <v>75500</v>
      </c>
      <c r="L9" s="14">
        <f t="shared" si="3"/>
        <v>100000</v>
      </c>
      <c r="N9">
        <v>97</v>
      </c>
      <c r="O9">
        <v>8</v>
      </c>
      <c r="P9">
        <f t="shared" si="7"/>
        <v>1185</v>
      </c>
      <c r="Q9" s="3">
        <f t="shared" si="6"/>
        <v>98608.144606246206</v>
      </c>
      <c r="R9" s="3">
        <f t="shared" si="4"/>
        <v>10093.291545787508</v>
      </c>
    </row>
    <row r="10" spans="1:30" x14ac:dyDescent="0.25">
      <c r="A10" s="11" t="s">
        <v>1016</v>
      </c>
      <c r="B10" s="43">
        <f t="shared" si="0"/>
        <v>76188.159924427819</v>
      </c>
      <c r="C10" s="43">
        <f t="shared" si="1"/>
        <v>78547.126534991767</v>
      </c>
      <c r="D10" s="11" t="s">
        <v>1029</v>
      </c>
      <c r="E10" s="20">
        <f>469-$U$8</f>
        <v>464</v>
      </c>
      <c r="F10" s="11">
        <v>0</v>
      </c>
      <c r="G10" s="11">
        <v>0</v>
      </c>
      <c r="H10" s="11">
        <v>0</v>
      </c>
      <c r="I10" s="20">
        <f t="shared" si="2"/>
        <v>15.21311475409836</v>
      </c>
      <c r="J10" s="3">
        <v>100000</v>
      </c>
      <c r="K10" s="3">
        <v>75500</v>
      </c>
      <c r="L10" s="3">
        <f t="shared" si="3"/>
        <v>100000</v>
      </c>
      <c r="N10">
        <v>97</v>
      </c>
      <c r="O10">
        <v>9</v>
      </c>
      <c r="P10">
        <f t="shared" si="7"/>
        <v>1185</v>
      </c>
      <c r="Q10" s="3">
        <f t="shared" si="6"/>
        <v>100382.06404098564</v>
      </c>
      <c r="R10" s="3">
        <f t="shared" si="4"/>
        <v>11458.288578354051</v>
      </c>
      <c r="V10" s="25"/>
      <c r="W10" s="26"/>
    </row>
    <row r="11" spans="1:30" x14ac:dyDescent="0.25">
      <c r="A11" s="16" t="s">
        <v>1017</v>
      </c>
      <c r="B11" s="14">
        <f t="shared" si="0"/>
        <v>69653.172336007148</v>
      </c>
      <c r="C11" s="14">
        <f t="shared" si="1"/>
        <v>72535.468947707297</v>
      </c>
      <c r="D11" s="16" t="s">
        <v>1033</v>
      </c>
      <c r="E11" s="16">
        <f>622-$U$8</f>
        <v>617</v>
      </c>
      <c r="F11" s="16">
        <v>0</v>
      </c>
      <c r="G11" s="16">
        <v>0</v>
      </c>
      <c r="H11" s="16">
        <v>0</v>
      </c>
      <c r="I11" s="16">
        <f t="shared" si="2"/>
        <v>20.229508196721312</v>
      </c>
      <c r="J11" s="14">
        <v>100000</v>
      </c>
      <c r="K11" s="14">
        <v>70000</v>
      </c>
      <c r="L11" s="14">
        <f t="shared" si="3"/>
        <v>100000</v>
      </c>
      <c r="N11">
        <v>97</v>
      </c>
      <c r="O11">
        <v>10</v>
      </c>
      <c r="P11">
        <f t="shared" si="7"/>
        <v>1185</v>
      </c>
      <c r="Q11" s="3">
        <f t="shared" si="6"/>
        <v>102187.89554722294</v>
      </c>
      <c r="R11" s="3">
        <f t="shared" si="4"/>
        <v>12847.628058001366</v>
      </c>
      <c r="V11" s="25"/>
      <c r="W11" s="26"/>
    </row>
    <row r="12" spans="1:30" x14ac:dyDescent="0.25">
      <c r="A12" s="11" t="s">
        <v>1018</v>
      </c>
      <c r="B12" s="43">
        <f t="shared" si="0"/>
        <v>86167.517296725622</v>
      </c>
      <c r="C12" s="43">
        <f t="shared" si="1"/>
        <v>87617.908254576352</v>
      </c>
      <c r="D12" s="11" t="s">
        <v>1034</v>
      </c>
      <c r="E12" s="20">
        <f>259-$U$8</f>
        <v>254</v>
      </c>
      <c r="F12" s="11">
        <v>0</v>
      </c>
      <c r="G12" s="11">
        <v>0</v>
      </c>
      <c r="H12" s="11">
        <v>0</v>
      </c>
      <c r="I12" s="20">
        <f t="shared" si="2"/>
        <v>8.3278688524590159</v>
      </c>
      <c r="J12" s="3">
        <v>100000</v>
      </c>
      <c r="K12" s="3">
        <v>86600</v>
      </c>
      <c r="L12" s="3">
        <f t="shared" si="3"/>
        <v>100000</v>
      </c>
      <c r="N12">
        <v>97</v>
      </c>
      <c r="O12">
        <v>11</v>
      </c>
      <c r="P12">
        <f t="shared" si="7"/>
        <v>1185</v>
      </c>
      <c r="Q12" s="3">
        <f t="shared" si="6"/>
        <v>104026.21320982766</v>
      </c>
      <c r="R12" s="3">
        <f t="shared" si="4"/>
        <v>14261.744091702391</v>
      </c>
      <c r="T12" t="s">
        <v>977</v>
      </c>
      <c r="U12" t="s">
        <v>1093</v>
      </c>
      <c r="V12" s="25"/>
      <c r="W12" s="26"/>
    </row>
    <row r="13" spans="1:30" x14ac:dyDescent="0.25">
      <c r="A13" s="16" t="s">
        <v>1019</v>
      </c>
      <c r="B13" s="14">
        <f t="shared" si="0"/>
        <v>67128.056321201264</v>
      </c>
      <c r="C13" s="14">
        <f t="shared" si="1"/>
        <v>70195.884302556296</v>
      </c>
      <c r="D13" s="16" t="s">
        <v>1035</v>
      </c>
      <c r="E13" s="16">
        <f>685-$U$8</f>
        <v>680</v>
      </c>
      <c r="F13" s="16">
        <v>0</v>
      </c>
      <c r="G13" s="16">
        <v>0</v>
      </c>
      <c r="H13" s="16">
        <v>0</v>
      </c>
      <c r="I13" s="16">
        <f t="shared" si="2"/>
        <v>22.295081967213115</v>
      </c>
      <c r="J13" s="14">
        <v>100000</v>
      </c>
      <c r="K13" s="14">
        <v>68000</v>
      </c>
      <c r="L13" s="14">
        <f t="shared" si="3"/>
        <v>100000</v>
      </c>
      <c r="N13">
        <v>97</v>
      </c>
      <c r="O13">
        <v>12</v>
      </c>
      <c r="P13">
        <f t="shared" si="7"/>
        <v>1185</v>
      </c>
      <c r="Q13" s="3">
        <f t="shared" si="6"/>
        <v>105897.60144121695</v>
      </c>
      <c r="R13" s="3">
        <f t="shared" si="4"/>
        <v>15701.078528004417</v>
      </c>
      <c r="T13">
        <v>85600</v>
      </c>
      <c r="U13">
        <v>980</v>
      </c>
      <c r="V13" s="3">
        <f>T13*(1+T2/36500)^U13</f>
        <v>152032.18688719775</v>
      </c>
      <c r="W13" s="26"/>
    </row>
    <row r="14" spans="1:30" x14ac:dyDescent="0.25">
      <c r="A14" s="11" t="s">
        <v>1020</v>
      </c>
      <c r="B14" s="43">
        <f t="shared" si="0"/>
        <v>68238.826837714019</v>
      </c>
      <c r="C14" s="43">
        <f t="shared" si="1"/>
        <v>71226.235832835271</v>
      </c>
      <c r="D14" s="11" t="s">
        <v>1036</v>
      </c>
      <c r="E14" s="20">
        <f>657-$U$8</f>
        <v>652</v>
      </c>
      <c r="F14" s="11">
        <v>0</v>
      </c>
      <c r="G14" s="11">
        <v>0</v>
      </c>
      <c r="H14" s="11">
        <v>0</v>
      </c>
      <c r="I14" s="20">
        <f t="shared" si="2"/>
        <v>21.377049180327869</v>
      </c>
      <c r="J14" s="3">
        <v>100000</v>
      </c>
      <c r="K14" s="3">
        <v>69000</v>
      </c>
      <c r="L14" s="3">
        <f t="shared" si="3"/>
        <v>100000</v>
      </c>
      <c r="N14">
        <v>98</v>
      </c>
      <c r="O14">
        <v>1</v>
      </c>
      <c r="P14">
        <f t="shared" si="7"/>
        <v>1185</v>
      </c>
      <c r="Q14" s="3">
        <f t="shared" si="6"/>
        <v>107802.65516714382</v>
      </c>
      <c r="R14" s="3">
        <f t="shared" si="4"/>
        <v>17166.08109508716</v>
      </c>
      <c r="V14" s="25"/>
      <c r="W14" s="26"/>
    </row>
    <row r="15" spans="1:30" x14ac:dyDescent="0.25">
      <c r="A15" s="16" t="s">
        <v>1021</v>
      </c>
      <c r="B15" s="14">
        <f t="shared" si="0"/>
        <v>68238.826837714019</v>
      </c>
      <c r="C15" s="14">
        <f t="shared" si="1"/>
        <v>71226.235832835271</v>
      </c>
      <c r="D15" s="16" t="s">
        <v>1036</v>
      </c>
      <c r="E15" s="16">
        <f>657-$U$8</f>
        <v>652</v>
      </c>
      <c r="F15" s="16">
        <v>0</v>
      </c>
      <c r="G15" s="16">
        <v>0</v>
      </c>
      <c r="H15" s="16">
        <v>0</v>
      </c>
      <c r="I15" s="16">
        <f t="shared" si="2"/>
        <v>21.377049180327869</v>
      </c>
      <c r="J15" s="14">
        <v>100000</v>
      </c>
      <c r="K15" s="14">
        <v>69000</v>
      </c>
      <c r="L15" s="14">
        <f t="shared" si="3"/>
        <v>100000</v>
      </c>
      <c r="N15">
        <v>98</v>
      </c>
      <c r="O15">
        <v>2</v>
      </c>
      <c r="P15">
        <f t="shared" si="7"/>
        <v>1185</v>
      </c>
      <c r="Q15" s="3">
        <f t="shared" si="6"/>
        <v>109741.98001582774</v>
      </c>
      <c r="R15" s="3">
        <f t="shared" si="4"/>
        <v>18657.209541282882</v>
      </c>
      <c r="V15" s="25"/>
      <c r="W15" s="26"/>
    </row>
    <row r="16" spans="1:30" x14ac:dyDescent="0.25">
      <c r="A16" s="11" t="s">
        <v>1022</v>
      </c>
      <c r="B16" s="43">
        <f t="shared" si="0"/>
        <v>70515.811891394638</v>
      </c>
      <c r="C16" s="43">
        <f t="shared" si="1"/>
        <v>73332.532101996476</v>
      </c>
      <c r="D16" s="11" t="s">
        <v>1026</v>
      </c>
      <c r="E16" s="20">
        <f>601-$U$8</f>
        <v>596</v>
      </c>
      <c r="F16" s="11">
        <v>0</v>
      </c>
      <c r="G16" s="11">
        <v>0</v>
      </c>
      <c r="H16" s="11">
        <v>0</v>
      </c>
      <c r="I16" s="20">
        <f t="shared" si="2"/>
        <v>19.540983606557376</v>
      </c>
      <c r="J16" s="3">
        <v>100000</v>
      </c>
      <c r="K16" s="3">
        <v>70500</v>
      </c>
      <c r="L16" s="3">
        <f t="shared" si="3"/>
        <v>100000</v>
      </c>
      <c r="N16">
        <v>98</v>
      </c>
      <c r="O16">
        <v>3</v>
      </c>
      <c r="P16">
        <f t="shared" si="7"/>
        <v>1185</v>
      </c>
      <c r="Q16" s="3">
        <f t="shared" si="6"/>
        <v>111716.19251048745</v>
      </c>
      <c r="R16" s="3">
        <f t="shared" si="4"/>
        <v>20174.929778102429</v>
      </c>
      <c r="V16" s="25"/>
      <c r="W16" s="26"/>
    </row>
    <row r="17" spans="1:23" x14ac:dyDescent="0.25">
      <c r="A17" s="16" t="s">
        <v>1040</v>
      </c>
      <c r="B17" s="14">
        <f t="shared" si="0"/>
        <v>82075.094397438967</v>
      </c>
      <c r="C17" s="14">
        <f t="shared" si="1"/>
        <v>89940.955170401765</v>
      </c>
      <c r="D17" s="16" t="s">
        <v>1041</v>
      </c>
      <c r="E17" s="16">
        <f>1397-$U$8</f>
        <v>1392</v>
      </c>
      <c r="F17" s="16">
        <v>17</v>
      </c>
      <c r="G17" s="16">
        <f>$Z$2</f>
        <v>0.78</v>
      </c>
      <c r="H17" s="16">
        <v>6</v>
      </c>
      <c r="I17" s="16">
        <f t="shared" si="2"/>
        <v>45.639344262295083</v>
      </c>
      <c r="J17" s="14">
        <v>100000</v>
      </c>
      <c r="K17" s="14">
        <v>96000</v>
      </c>
      <c r="L17" s="14">
        <f t="shared" si="3"/>
        <v>185587.59193824147</v>
      </c>
      <c r="N17">
        <v>98</v>
      </c>
      <c r="O17">
        <v>4</v>
      </c>
      <c r="P17">
        <f t="shared" si="7"/>
        <v>1185</v>
      </c>
      <c r="Q17" s="3">
        <f t="shared" si="6"/>
        <v>113725.92026533757</v>
      </c>
      <c r="R17" s="3">
        <f t="shared" si="4"/>
        <v>21719.716025811922</v>
      </c>
      <c r="T17" s="87">
        <f>U17*((1+$T$2/36500)^30)</f>
        <v>10177393.935431281</v>
      </c>
      <c r="U17" s="3">
        <v>10000000</v>
      </c>
      <c r="V17" s="25"/>
      <c r="W17" s="26"/>
    </row>
    <row r="18" spans="1:23" x14ac:dyDescent="0.25">
      <c r="A18" s="11" t="s">
        <v>987</v>
      </c>
      <c r="B18" s="85">
        <f t="shared" si="0"/>
        <v>98058.794439591555</v>
      </c>
      <c r="C18" s="85">
        <f t="shared" si="1"/>
        <v>101730.10997706155</v>
      </c>
      <c r="D18" s="11" t="s">
        <v>1007</v>
      </c>
      <c r="E18" s="20">
        <f>564-$U$8</f>
        <v>559</v>
      </c>
      <c r="F18" s="11">
        <v>21</v>
      </c>
      <c r="G18" s="11">
        <f t="shared" ref="G18:G23" si="8">$Z$1</f>
        <v>0.88</v>
      </c>
      <c r="H18" s="11">
        <v>3</v>
      </c>
      <c r="I18" s="20">
        <f t="shared" si="2"/>
        <v>18.327868852459016</v>
      </c>
      <c r="J18" s="3">
        <v>100000</v>
      </c>
      <c r="K18" s="3">
        <v>98000</v>
      </c>
      <c r="L18" s="3">
        <f t="shared" si="3"/>
        <v>136076.01554237539</v>
      </c>
      <c r="N18">
        <v>98</v>
      </c>
      <c r="O18">
        <v>5</v>
      </c>
      <c r="P18">
        <f t="shared" si="7"/>
        <v>1185</v>
      </c>
      <c r="Q18" s="3">
        <f t="shared" si="6"/>
        <v>115771.80218511086</v>
      </c>
      <c r="R18" s="3">
        <f t="shared" si="4"/>
        <v>23292.050961605568</v>
      </c>
      <c r="V18" s="25"/>
      <c r="W18" s="26"/>
    </row>
    <row r="19" spans="1:23" x14ac:dyDescent="0.25">
      <c r="A19" s="16" t="s">
        <v>988</v>
      </c>
      <c r="B19" s="14">
        <f t="shared" si="0"/>
        <v>90565.663304384943</v>
      </c>
      <c r="C19" s="14">
        <f t="shared" si="1"/>
        <v>94061.032275984777</v>
      </c>
      <c r="D19" s="16" t="s">
        <v>1008</v>
      </c>
      <c r="E19" s="16">
        <f>581-$U$8</f>
        <v>576</v>
      </c>
      <c r="F19" s="16">
        <v>16</v>
      </c>
      <c r="G19" s="11">
        <f t="shared" si="8"/>
        <v>0.88</v>
      </c>
      <c r="H19" s="16">
        <v>3</v>
      </c>
      <c r="I19" s="16">
        <f t="shared" si="2"/>
        <v>18.885245901639344</v>
      </c>
      <c r="J19" s="14">
        <v>100000</v>
      </c>
      <c r="K19" s="14">
        <v>91000</v>
      </c>
      <c r="L19" s="14">
        <f t="shared" si="3"/>
        <v>126936.3496429904</v>
      </c>
      <c r="N19">
        <v>98</v>
      </c>
      <c r="O19">
        <v>6</v>
      </c>
      <c r="P19">
        <f t="shared" si="7"/>
        <v>1185</v>
      </c>
      <c r="Q19" s="3">
        <f t="shared" si="6"/>
        <v>117854.48866817009</v>
      </c>
      <c r="R19" s="3">
        <f t="shared" si="4"/>
        <v>24892.42587042087</v>
      </c>
      <c r="V19" s="25"/>
      <c r="W19" s="26"/>
    </row>
    <row r="20" spans="1:23" x14ac:dyDescent="0.25">
      <c r="A20" s="20" t="s">
        <v>981</v>
      </c>
      <c r="B20" s="43">
        <f t="shared" si="0"/>
        <v>97821.810012111615</v>
      </c>
      <c r="C20" s="43">
        <f t="shared" si="1"/>
        <v>101945.73058767816</v>
      </c>
      <c r="D20" s="11" t="s">
        <v>1009</v>
      </c>
      <c r="E20" s="20">
        <f>633-$U$8</f>
        <v>628</v>
      </c>
      <c r="F20" s="11">
        <v>21</v>
      </c>
      <c r="G20" s="11">
        <f t="shared" si="8"/>
        <v>0.88</v>
      </c>
      <c r="H20" s="11">
        <v>3</v>
      </c>
      <c r="I20" s="20">
        <f t="shared" si="2"/>
        <v>20.590163934426229</v>
      </c>
      <c r="J20" s="3">
        <v>100000</v>
      </c>
      <c r="K20" s="3">
        <v>97200</v>
      </c>
      <c r="L20" s="3">
        <f t="shared" si="3"/>
        <v>141349.69460848009</v>
      </c>
      <c r="N20">
        <v>98</v>
      </c>
      <c r="O20" s="9">
        <v>7</v>
      </c>
      <c r="P20">
        <f t="shared" si="7"/>
        <v>1185</v>
      </c>
      <c r="Q20" s="3">
        <f t="shared" si="6"/>
        <v>119974.64181327351</v>
      </c>
      <c r="R20" s="3">
        <f t="shared" si="4"/>
        <v>26521.340798443376</v>
      </c>
      <c r="V20" s="25"/>
      <c r="W20" s="26"/>
    </row>
    <row r="21" spans="1:23" x14ac:dyDescent="0.25">
      <c r="A21" s="16" t="s">
        <v>974</v>
      </c>
      <c r="B21" s="14">
        <f t="shared" si="0"/>
        <v>97588.820491639824</v>
      </c>
      <c r="C21" s="14">
        <f t="shared" si="1"/>
        <v>102158.67338581181</v>
      </c>
      <c r="D21" s="16" t="s">
        <v>1010</v>
      </c>
      <c r="E21" s="16">
        <f>701-$U$8</f>
        <v>696</v>
      </c>
      <c r="F21" s="16">
        <v>21</v>
      </c>
      <c r="G21" s="11">
        <f t="shared" si="8"/>
        <v>0.88</v>
      </c>
      <c r="H21" s="16">
        <v>3</v>
      </c>
      <c r="I21" s="16">
        <f t="shared" si="2"/>
        <v>22.819672131147541</v>
      </c>
      <c r="J21" s="14">
        <v>100000</v>
      </c>
      <c r="K21" s="14">
        <v>99500</v>
      </c>
      <c r="L21" s="14">
        <f t="shared" si="3"/>
        <v>146746.86830236125</v>
      </c>
      <c r="N21">
        <v>98</v>
      </c>
      <c r="O21">
        <v>8</v>
      </c>
      <c r="P21">
        <f t="shared" si="7"/>
        <v>1185</v>
      </c>
      <c r="Q21" s="3">
        <f t="shared" si="6"/>
        <v>122132.93563006021</v>
      </c>
      <c r="R21" s="3">
        <f t="shared" si="4"/>
        <v>28179.304709348951</v>
      </c>
      <c r="V21" s="25"/>
      <c r="W21" s="26"/>
    </row>
    <row r="22" spans="1:23" x14ac:dyDescent="0.25">
      <c r="A22" s="11" t="s">
        <v>989</v>
      </c>
      <c r="B22" s="43">
        <f t="shared" si="0"/>
        <v>91871.970067520306</v>
      </c>
      <c r="C22" s="43">
        <f t="shared" si="1"/>
        <v>96344.633269808706</v>
      </c>
      <c r="D22" s="11" t="s">
        <v>1039</v>
      </c>
      <c r="E22" s="20">
        <f>728-$U$8</f>
        <v>723</v>
      </c>
      <c r="F22" s="11">
        <v>18</v>
      </c>
      <c r="G22" s="11">
        <f t="shared" si="8"/>
        <v>0.88</v>
      </c>
      <c r="H22" s="11">
        <v>3</v>
      </c>
      <c r="I22" s="20">
        <f t="shared" si="2"/>
        <v>23.704918032786885</v>
      </c>
      <c r="J22" s="3">
        <v>100000</v>
      </c>
      <c r="K22" s="3">
        <v>93000</v>
      </c>
      <c r="L22" s="3">
        <f t="shared" si="3"/>
        <v>140353.97882657754</v>
      </c>
      <c r="N22">
        <v>98</v>
      </c>
      <c r="O22" s="9">
        <v>9</v>
      </c>
      <c r="P22">
        <f t="shared" si="7"/>
        <v>1185</v>
      </c>
      <c r="Q22" s="3">
        <f t="shared" si="6"/>
        <v>124330.0562533218</v>
      </c>
      <c r="R22" s="3">
        <f t="shared" si="4"/>
        <v>29866.835643332342</v>
      </c>
      <c r="V22" s="25"/>
      <c r="W22" s="26"/>
    </row>
    <row r="23" spans="1:23" x14ac:dyDescent="0.25">
      <c r="A23" s="16" t="s">
        <v>990</v>
      </c>
      <c r="B23" s="14">
        <f t="shared" si="0"/>
        <v>89174.181217783931</v>
      </c>
      <c r="C23" s="14">
        <f t="shared" si="1"/>
        <v>93165.477155744811</v>
      </c>
      <c r="D23" s="16" t="s">
        <v>1011</v>
      </c>
      <c r="E23" s="16">
        <f>671-$U$8</f>
        <v>666</v>
      </c>
      <c r="F23" s="16">
        <v>16</v>
      </c>
      <c r="G23" s="11">
        <f t="shared" si="8"/>
        <v>0.88</v>
      </c>
      <c r="H23" s="16">
        <v>3</v>
      </c>
      <c r="I23" s="16">
        <f t="shared" si="2"/>
        <v>21.83606557377049</v>
      </c>
      <c r="J23" s="14">
        <v>100000</v>
      </c>
      <c r="K23" s="14">
        <v>90000</v>
      </c>
      <c r="L23" s="14">
        <f t="shared" si="3"/>
        <v>131756.27811225932</v>
      </c>
      <c r="N23">
        <v>98</v>
      </c>
      <c r="O23">
        <v>10</v>
      </c>
      <c r="P23">
        <f t="shared" si="7"/>
        <v>1185</v>
      </c>
      <c r="Q23" s="3">
        <f t="shared" si="6"/>
        <v>126566.70216112894</v>
      </c>
      <c r="R23" s="3">
        <f t="shared" si="4"/>
        <v>31584.460878971771</v>
      </c>
      <c r="V23" s="25"/>
      <c r="W23" s="26"/>
    </row>
    <row r="24" spans="1:23" x14ac:dyDescent="0.25">
      <c r="A24" s="11" t="s">
        <v>991</v>
      </c>
      <c r="B24" s="88">
        <f t="shared" si="0"/>
        <v>82468.059617331397</v>
      </c>
      <c r="C24" s="88">
        <f t="shared" si="1"/>
        <v>87956.191164258751</v>
      </c>
      <c r="D24" s="11" t="s">
        <v>1012</v>
      </c>
      <c r="E24" s="20">
        <f>985-$U$8</f>
        <v>980</v>
      </c>
      <c r="F24" s="11">
        <v>15</v>
      </c>
      <c r="G24" s="11">
        <f>$Z$2</f>
        <v>0.78</v>
      </c>
      <c r="H24" s="11">
        <v>6</v>
      </c>
      <c r="I24" s="20">
        <f t="shared" si="2"/>
        <v>32.131147540983605</v>
      </c>
      <c r="J24" s="3">
        <v>100000</v>
      </c>
      <c r="K24" s="3">
        <v>85500</v>
      </c>
      <c r="L24" s="3">
        <f t="shared" si="3"/>
        <v>146469.61976596602</v>
      </c>
      <c r="N24">
        <v>98</v>
      </c>
      <c r="O24">
        <v>11</v>
      </c>
      <c r="P24">
        <f t="shared" si="7"/>
        <v>1185</v>
      </c>
      <c r="Q24" s="3">
        <f t="shared" si="6"/>
        <v>128843.58439688174</v>
      </c>
      <c r="R24" s="3">
        <f t="shared" si="4"/>
        <v>33332.717097980101</v>
      </c>
      <c r="V24" s="25"/>
      <c r="W24" s="26"/>
    </row>
    <row r="25" spans="1:23" x14ac:dyDescent="0.25">
      <c r="A25" s="16" t="s">
        <v>965</v>
      </c>
      <c r="B25" s="14">
        <f t="shared" si="0"/>
        <v>81071.850335360316</v>
      </c>
      <c r="C25" s="14">
        <f t="shared" si="1"/>
        <v>83001.817773141971</v>
      </c>
      <c r="D25" s="16" t="s">
        <v>1013</v>
      </c>
      <c r="E25" s="16">
        <f>363-$U$8</f>
        <v>358</v>
      </c>
      <c r="F25" s="16">
        <v>0</v>
      </c>
      <c r="G25" s="16">
        <v>0</v>
      </c>
      <c r="H25" s="16">
        <v>0</v>
      </c>
      <c r="I25" s="16">
        <f t="shared" si="2"/>
        <v>11.737704918032787</v>
      </c>
      <c r="J25" s="14">
        <v>100000</v>
      </c>
      <c r="K25" s="14">
        <v>82000</v>
      </c>
      <c r="L25" s="14">
        <f t="shared" si="3"/>
        <v>100000</v>
      </c>
      <c r="N25">
        <v>98</v>
      </c>
      <c r="O25">
        <v>12</v>
      </c>
      <c r="P25">
        <f t="shared" si="7"/>
        <v>1185</v>
      </c>
      <c r="Q25" s="3">
        <f t="shared" si="6"/>
        <v>131161.42679535478</v>
      </c>
      <c r="R25" s="3">
        <f t="shared" si="4"/>
        <v>35112.150552894083</v>
      </c>
      <c r="V25" s="25"/>
      <c r="W25" s="26"/>
    </row>
    <row r="26" spans="1:23" x14ac:dyDescent="0.25">
      <c r="A26" s="16" t="s">
        <v>1000</v>
      </c>
      <c r="B26" s="14">
        <f t="shared" si="0"/>
        <v>92723.228424007873</v>
      </c>
      <c r="C26" s="14">
        <f t="shared" si="1"/>
        <v>100765.38224080502</v>
      </c>
      <c r="D26" s="16" t="s">
        <v>1004</v>
      </c>
      <c r="E26" s="16">
        <f>1270-$U$8</f>
        <v>1265</v>
      </c>
      <c r="F26" s="16">
        <v>20</v>
      </c>
      <c r="G26" s="16">
        <f>$Z$2</f>
        <v>0.78</v>
      </c>
      <c r="H26" s="16">
        <v>6</v>
      </c>
      <c r="I26" s="16">
        <f t="shared" si="2"/>
        <v>41.475409836065573</v>
      </c>
      <c r="J26" s="14">
        <v>100000</v>
      </c>
      <c r="K26" s="14">
        <v>100000</v>
      </c>
      <c r="L26" s="14">
        <f t="shared" si="3"/>
        <v>194624.66597161093</v>
      </c>
      <c r="N26">
        <v>99</v>
      </c>
      <c r="O26">
        <v>1</v>
      </c>
      <c r="P26">
        <f t="shared" si="7"/>
        <v>1185</v>
      </c>
      <c r="Q26" s="3">
        <f t="shared" si="6"/>
        <v>133520.96621280871</v>
      </c>
      <c r="R26" s="3">
        <f t="shared" si="4"/>
        <v>36923.317237754032</v>
      </c>
      <c r="V26" s="25"/>
      <c r="W26" s="26"/>
    </row>
    <row r="27" spans="1:23" x14ac:dyDescent="0.25">
      <c r="A27" s="20" t="s">
        <v>1005</v>
      </c>
      <c r="B27" s="43">
        <f t="shared" si="0"/>
        <v>99732.633063258996</v>
      </c>
      <c r="C27" s="43">
        <f t="shared" si="1"/>
        <v>102047.81312963367</v>
      </c>
      <c r="D27" s="20" t="s">
        <v>1006</v>
      </c>
      <c r="E27" s="20">
        <f>354-$U$8</f>
        <v>349</v>
      </c>
      <c r="F27" s="20">
        <v>22</v>
      </c>
      <c r="G27" s="20">
        <f>Z1</f>
        <v>0.88</v>
      </c>
      <c r="H27" s="20">
        <v>3</v>
      </c>
      <c r="I27" s="20">
        <f t="shared" si="2"/>
        <v>11.442622950819672</v>
      </c>
      <c r="J27" s="43">
        <v>100000</v>
      </c>
      <c r="K27" s="43">
        <v>103000</v>
      </c>
      <c r="L27" s="3">
        <f t="shared" si="3"/>
        <v>122370.35625030873</v>
      </c>
      <c r="N27">
        <v>99</v>
      </c>
      <c r="O27">
        <v>2</v>
      </c>
      <c r="P27">
        <f t="shared" si="7"/>
        <v>1185</v>
      </c>
      <c r="Q27" s="3">
        <f t="shared" si="6"/>
        <v>135922.95276124121</v>
      </c>
      <c r="R27" s="3">
        <f t="shared" si="4"/>
        <v>38766.783061827315</v>
      </c>
      <c r="V27" s="25"/>
      <c r="W27" s="26"/>
    </row>
    <row r="28" spans="1:23" x14ac:dyDescent="0.25">
      <c r="A28" s="16" t="s">
        <v>1031</v>
      </c>
      <c r="B28" s="14">
        <f t="shared" si="0"/>
        <v>99159.71926793232</v>
      </c>
      <c r="C28" s="14">
        <f t="shared" si="1"/>
        <v>104309.57108896012</v>
      </c>
      <c r="D28" s="16" t="s">
        <v>1032</v>
      </c>
      <c r="E28" s="16">
        <f>775-$U$8</f>
        <v>770</v>
      </c>
      <c r="F28" s="16">
        <v>21</v>
      </c>
      <c r="G28" s="16">
        <v>0</v>
      </c>
      <c r="H28" s="16">
        <v>1</v>
      </c>
      <c r="I28" s="16">
        <f t="shared" si="2"/>
        <v>25.245901639344261</v>
      </c>
      <c r="J28" s="14">
        <v>100000</v>
      </c>
      <c r="K28" s="14">
        <v>104000</v>
      </c>
      <c r="L28" s="14">
        <f t="shared" si="3"/>
        <v>155718.77236135365</v>
      </c>
      <c r="N28">
        <v>99</v>
      </c>
      <c r="O28">
        <v>3</v>
      </c>
      <c r="P28">
        <f t="shared" si="7"/>
        <v>1185</v>
      </c>
      <c r="Q28" s="3">
        <f t="shared" si="6"/>
        <v>138368.15004685227</v>
      </c>
      <c r="R28" s="3">
        <f t="shared" si="4"/>
        <v>40643.124026429905</v>
      </c>
      <c r="V28" s="25"/>
      <c r="W28" s="26"/>
    </row>
    <row r="29" spans="1:23" x14ac:dyDescent="0.25">
      <c r="A29" s="20" t="s">
        <v>1087</v>
      </c>
      <c r="B29" s="43">
        <f t="shared" si="0"/>
        <v>82847.413497688525</v>
      </c>
      <c r="C29" s="43">
        <f t="shared" si="1"/>
        <v>90394.195770837978</v>
      </c>
      <c r="D29" s="20" t="s">
        <v>1088</v>
      </c>
      <c r="E29" s="20">
        <f>1331-$U$8</f>
        <v>1326</v>
      </c>
      <c r="F29" s="20">
        <v>17</v>
      </c>
      <c r="G29" s="20">
        <f>Z2</f>
        <v>0.78</v>
      </c>
      <c r="H29" s="20">
        <v>6</v>
      </c>
      <c r="I29" s="20">
        <f t="shared" si="2"/>
        <v>43.475409836065573</v>
      </c>
      <c r="J29" s="43">
        <v>100000</v>
      </c>
      <c r="K29" s="43"/>
      <c r="L29" s="3">
        <f t="shared" si="3"/>
        <v>180225.40617226105</v>
      </c>
      <c r="N29">
        <v>99</v>
      </c>
      <c r="O29">
        <v>4</v>
      </c>
      <c r="P29">
        <f t="shared" si="7"/>
        <v>1185</v>
      </c>
      <c r="Q29" s="3">
        <f t="shared" si="6"/>
        <v>140857.33541279926</v>
      </c>
      <c r="R29" s="3">
        <f t="shared" si="4"/>
        <v>42552.926404901242</v>
      </c>
      <c r="V29" s="25"/>
      <c r="W29" s="26"/>
    </row>
    <row r="30" spans="1:23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89"/>
      <c r="N30">
        <v>99</v>
      </c>
      <c r="O30">
        <v>5</v>
      </c>
      <c r="P30">
        <f t="shared" si="7"/>
        <v>1185</v>
      </c>
      <c r="Q30" s="3">
        <f t="shared" si="6"/>
        <v>143391.30018631907</v>
      </c>
      <c r="R30" s="3">
        <f t="shared" si="4"/>
        <v>44496.786925788649</v>
      </c>
      <c r="U30" s="25"/>
      <c r="V30" s="26"/>
    </row>
    <row r="31" spans="1:23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89"/>
      <c r="N31">
        <v>99</v>
      </c>
      <c r="O31">
        <v>6</v>
      </c>
      <c r="P31">
        <f t="shared" si="7"/>
        <v>1185</v>
      </c>
      <c r="Q31" s="3">
        <f t="shared" si="6"/>
        <v>145970.84993029587</v>
      </c>
      <c r="R31" s="3">
        <f t="shared" si="4"/>
        <v>46475.31295929855</v>
      </c>
      <c r="U31" s="25"/>
      <c r="V31" s="26"/>
    </row>
    <row r="32" spans="1:23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89"/>
      <c r="N32">
        <v>99</v>
      </c>
      <c r="O32">
        <v>7</v>
      </c>
      <c r="P32">
        <f t="shared" si="7"/>
        <v>1185</v>
      </c>
      <c r="Q32" s="3">
        <f t="shared" si="6"/>
        <v>148596.8046993544</v>
      </c>
      <c r="R32" s="3">
        <f t="shared" si="4"/>
        <v>48489.122707072711</v>
      </c>
      <c r="U32" s="25"/>
      <c r="V32" s="26"/>
    </row>
    <row r="33" spans="1:22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89"/>
      <c r="N33">
        <v>99</v>
      </c>
      <c r="O33">
        <v>8</v>
      </c>
      <c r="P33">
        <f t="shared" si="7"/>
        <v>1185</v>
      </c>
      <c r="Q33" s="3">
        <f t="shared" si="6"/>
        <v>151269.99930056048</v>
      </c>
      <c r="R33" s="3">
        <f t="shared" si="4"/>
        <v>50538.845395348842</v>
      </c>
      <c r="U33" s="25"/>
      <c r="V33" s="26"/>
    </row>
    <row r="34" spans="1:22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N34">
        <v>99</v>
      </c>
      <c r="O34" s="9">
        <v>9</v>
      </c>
      <c r="P34">
        <f t="shared" si="7"/>
        <v>1185</v>
      </c>
      <c r="Q34" s="3">
        <f>Q33*(1+($T$2+0.1875)/1200)</f>
        <v>153991.28355881118</v>
      </c>
      <c r="R34" s="3">
        <f t="shared" si="4"/>
        <v>52625.121471565901</v>
      </c>
      <c r="U34" s="25"/>
      <c r="V34" s="26"/>
    </row>
    <row r="35" spans="1:22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N35">
        <v>99</v>
      </c>
      <c r="O35">
        <v>10</v>
      </c>
      <c r="P35">
        <f t="shared" si="7"/>
        <v>1185</v>
      </c>
      <c r="Q35" s="3">
        <f t="shared" si="6"/>
        <v>156761.52258699934</v>
      </c>
      <c r="R35" s="3">
        <f t="shared" si="4"/>
        <v>54748.602804475493</v>
      </c>
      <c r="U35" s="25"/>
      <c r="V35" s="26"/>
    </row>
    <row r="36" spans="1:22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N36">
        <v>99</v>
      </c>
      <c r="O36">
        <v>11</v>
      </c>
      <c r="P36">
        <f t="shared" si="7"/>
        <v>1185</v>
      </c>
      <c r="Q36" s="3">
        <f t="shared" si="6"/>
        <v>159581.59706103837</v>
      </c>
      <c r="R36" s="3">
        <f t="shared" si="4"/>
        <v>56909.952887821972</v>
      </c>
      <c r="U36" s="25"/>
      <c r="V36" s="26"/>
    </row>
    <row r="37" spans="1:22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N37">
        <v>99</v>
      </c>
      <c r="O37">
        <v>12</v>
      </c>
      <c r="P37">
        <f t="shared" si="7"/>
        <v>1185</v>
      </c>
      <c r="Q37" s="3">
        <f t="shared" si="6"/>
        <v>162452.40349983433</v>
      </c>
      <c r="R37" s="3">
        <f t="shared" si="4"/>
        <v>59109.847047654795</v>
      </c>
      <c r="U37" s="25"/>
      <c r="V37" s="26"/>
    </row>
    <row r="38" spans="1:22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N38">
        <v>100</v>
      </c>
      <c r="O38">
        <v>1</v>
      </c>
      <c r="P38">
        <f t="shared" si="7"/>
        <v>1185</v>
      </c>
      <c r="Q38" s="3">
        <f t="shared" si="6"/>
        <v>165374.85455029487</v>
      </c>
      <c r="R38" s="3">
        <f t="shared" si="4"/>
        <v>61348.972653337973</v>
      </c>
      <c r="U38" s="25"/>
      <c r="V38" s="26"/>
    </row>
    <row r="39" spans="1:22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N39">
        <v>100</v>
      </c>
      <c r="O39">
        <v>2</v>
      </c>
      <c r="P39">
        <f t="shared" si="7"/>
        <v>1185</v>
      </c>
      <c r="Q39" s="3">
        <f t="shared" si="6"/>
        <v>168349.87927746525</v>
      </c>
      <c r="R39" s="3">
        <f t="shared" si="4"/>
        <v>63628.029332322505</v>
      </c>
      <c r="U39" s="25"/>
      <c r="V39" s="26"/>
    </row>
    <row r="40" spans="1:22" x14ac:dyDescent="0.25">
      <c r="N40">
        <v>100</v>
      </c>
      <c r="O40">
        <v>3</v>
      </c>
      <c r="P40">
        <f t="shared" si="7"/>
        <v>1185</v>
      </c>
      <c r="Q40" s="3">
        <f t="shared" si="6"/>
        <v>171378.42345988381</v>
      </c>
      <c r="R40" s="3">
        <f t="shared" si="4"/>
        <v>65947.729188748926</v>
      </c>
      <c r="U40" s="25"/>
      <c r="V40" s="26"/>
    </row>
    <row r="41" spans="1:22" x14ac:dyDescent="0.25">
      <c r="N41">
        <v>100</v>
      </c>
      <c r="O41">
        <v>4</v>
      </c>
      <c r="P41">
        <f t="shared" si="7"/>
        <v>1185</v>
      </c>
      <c r="Q41" s="3">
        <f t="shared" si="6"/>
        <v>174461.44989025066</v>
      </c>
      <c r="R41" s="3">
        <f t="shared" si="4"/>
        <v>68308.797025948283</v>
      </c>
      <c r="U41" s="25"/>
      <c r="V41" s="26"/>
    </row>
    <row r="42" spans="1:22" x14ac:dyDescent="0.25">
      <c r="N42">
        <v>100</v>
      </c>
      <c r="O42">
        <v>5</v>
      </c>
      <c r="P42">
        <f t="shared" si="7"/>
        <v>1185</v>
      </c>
      <c r="Q42" s="3">
        <f t="shared" si="6"/>
        <v>177599.93868150547</v>
      </c>
      <c r="R42" s="3">
        <f t="shared" si="4"/>
        <v>70711.970572911028</v>
      </c>
      <c r="U42" s="25"/>
      <c r="V42" s="26"/>
    </row>
    <row r="43" spans="1:22" x14ac:dyDescent="0.25">
      <c r="N43">
        <v>100</v>
      </c>
      <c r="O43" s="9">
        <v>6</v>
      </c>
      <c r="P43">
        <f t="shared" si="7"/>
        <v>1185</v>
      </c>
      <c r="Q43" s="3">
        <f t="shared" si="6"/>
        <v>180794.88757841129</v>
      </c>
      <c r="R43" s="3">
        <f t="shared" si="4"/>
        <v>73158.000714794616</v>
      </c>
      <c r="U43" s="25"/>
      <c r="V43" s="26"/>
    </row>
    <row r="44" spans="1:22" x14ac:dyDescent="0.25">
      <c r="N44">
        <v>100</v>
      </c>
      <c r="O44">
        <v>7</v>
      </c>
      <c r="P44">
        <f t="shared" si="7"/>
        <v>1185</v>
      </c>
      <c r="Q44" s="3">
        <f t="shared" si="6"/>
        <v>184047.31227474374</v>
      </c>
      <c r="R44" s="3">
        <f t="shared" si="4"/>
        <v>75647.651727541786</v>
      </c>
      <c r="U44" s="25"/>
      <c r="V44" s="26"/>
    </row>
    <row r="45" spans="1:22" x14ac:dyDescent="0.25">
      <c r="N45">
        <v>100</v>
      </c>
      <c r="O45">
        <v>8</v>
      </c>
      <c r="P45">
        <f t="shared" si="7"/>
        <v>1185</v>
      </c>
      <c r="Q45" s="3">
        <f t="shared" si="6"/>
        <v>187358.24673618624</v>
      </c>
      <c r="R45" s="3">
        <f t="shared" si="4"/>
        <v>78181.701516682951</v>
      </c>
      <c r="U45" s="25"/>
      <c r="V45" s="26"/>
    </row>
    <row r="46" spans="1:22" x14ac:dyDescent="0.25">
      <c r="N46">
        <v>100</v>
      </c>
      <c r="O46">
        <v>9</v>
      </c>
      <c r="P46">
        <f t="shared" si="7"/>
        <v>1185</v>
      </c>
      <c r="Q46" s="3">
        <f t="shared" si="6"/>
        <v>190728.74352903408</v>
      </c>
      <c r="R46" s="3">
        <f t="shared" si="4"/>
        <v>80760.941860397128</v>
      </c>
      <c r="U46" s="25"/>
      <c r="V46" s="26"/>
    </row>
    <row r="47" spans="1:22" x14ac:dyDescent="0.25">
      <c r="N47">
        <v>100</v>
      </c>
      <c r="O47">
        <v>10</v>
      </c>
      <c r="P47">
        <f t="shared" si="7"/>
        <v>1185</v>
      </c>
      <c r="Q47" s="3">
        <f t="shared" si="6"/>
        <v>194159.87415481158</v>
      </c>
      <c r="R47" s="3">
        <f t="shared" si="4"/>
        <v>83386.178656907548</v>
      </c>
      <c r="U47" s="25"/>
      <c r="V47" s="26"/>
    </row>
    <row r="48" spans="1:22" x14ac:dyDescent="0.25">
      <c r="N48">
        <v>100</v>
      </c>
      <c r="O48">
        <v>11</v>
      </c>
      <c r="P48">
        <f t="shared" si="7"/>
        <v>1185</v>
      </c>
      <c r="Q48" s="3">
        <f t="shared" si="6"/>
        <v>197652.72939090905</v>
      </c>
      <c r="R48" s="3">
        <f t="shared" si="4"/>
        <v>86058.232176289064</v>
      </c>
      <c r="U48" s="25"/>
      <c r="V48" s="26"/>
    </row>
    <row r="49" spans="1:22" x14ac:dyDescent="0.25">
      <c r="N49">
        <v>100</v>
      </c>
      <c r="O49">
        <v>12</v>
      </c>
      <c r="P49">
        <f t="shared" si="7"/>
        <v>1185</v>
      </c>
      <c r="Q49" s="3">
        <f t="shared" si="6"/>
        <v>201208.41963734757</v>
      </c>
      <c r="R49" s="3">
        <f t="shared" si="4"/>
        <v>88777.937316766227</v>
      </c>
      <c r="U49" s="25"/>
      <c r="V49" s="26"/>
    </row>
    <row r="50" spans="1:22" x14ac:dyDescent="0.25">
      <c r="U50" s="25"/>
      <c r="V50" s="26"/>
    </row>
    <row r="51" spans="1:22" x14ac:dyDescent="0.25">
      <c r="U51" s="25"/>
      <c r="V51" s="26"/>
    </row>
    <row r="52" spans="1:22" x14ac:dyDescent="0.25">
      <c r="U52" s="25"/>
      <c r="V52" s="26"/>
    </row>
    <row r="53" spans="1:22" x14ac:dyDescent="0.25">
      <c r="U53" s="25"/>
      <c r="V53" s="26"/>
    </row>
    <row r="54" spans="1:22" x14ac:dyDescent="0.25">
      <c r="U54" s="25"/>
      <c r="V54" s="26"/>
    </row>
    <row r="55" spans="1:22" x14ac:dyDescent="0.25">
      <c r="U55" s="25"/>
      <c r="V55" s="26"/>
    </row>
    <row r="56" spans="1:22" x14ac:dyDescent="0.25">
      <c r="U56" s="25"/>
      <c r="V56" s="26"/>
    </row>
    <row r="57" spans="1:22" x14ac:dyDescent="0.25">
      <c r="U57" s="25"/>
      <c r="V57" s="26"/>
    </row>
    <row r="58" spans="1:22" x14ac:dyDescent="0.25">
      <c r="U58" s="25"/>
      <c r="V58" s="26"/>
    </row>
    <row r="59" spans="1:22" x14ac:dyDescent="0.25">
      <c r="U59" s="25"/>
      <c r="V59" s="26"/>
    </row>
    <row r="60" spans="1:22" x14ac:dyDescent="0.25">
      <c r="U60" s="25"/>
      <c r="V60" s="26"/>
    </row>
    <row r="61" spans="1:22" x14ac:dyDescent="0.25">
      <c r="U61" s="25"/>
      <c r="V61" s="26"/>
    </row>
    <row r="62" spans="1:22" x14ac:dyDescent="0.25">
      <c r="A62" s="25"/>
      <c r="B62" s="25"/>
      <c r="C62" s="25"/>
      <c r="D62" s="25"/>
      <c r="E62" s="25"/>
      <c r="F62" s="25"/>
      <c r="G62" s="25"/>
      <c r="H62" s="25"/>
      <c r="I62" s="26"/>
      <c r="J62" s="26"/>
      <c r="K62" s="26"/>
      <c r="U62" s="25"/>
      <c r="V62" s="26"/>
    </row>
    <row r="63" spans="1:22" x14ac:dyDescent="0.25">
      <c r="U63" s="25"/>
      <c r="V63" s="26"/>
    </row>
    <row r="64" spans="1:22" x14ac:dyDescent="0.25">
      <c r="U64" s="25"/>
      <c r="V64" s="26"/>
    </row>
    <row r="65" spans="10:22" x14ac:dyDescent="0.25">
      <c r="J65" t="s">
        <v>25</v>
      </c>
      <c r="U65" s="25"/>
      <c r="V65" s="26"/>
    </row>
    <row r="66" spans="10:22" x14ac:dyDescent="0.25">
      <c r="K66" t="s">
        <v>25</v>
      </c>
      <c r="U66" s="25"/>
      <c r="V66" s="26"/>
    </row>
    <row r="67" spans="10:22" x14ac:dyDescent="0.25">
      <c r="U67" s="25"/>
      <c r="V67" s="26"/>
    </row>
    <row r="68" spans="10:22" x14ac:dyDescent="0.25">
      <c r="U68" s="25"/>
      <c r="V68" s="26"/>
    </row>
    <row r="69" spans="10:22" x14ac:dyDescent="0.25">
      <c r="U69" s="25"/>
      <c r="V69" s="26"/>
    </row>
    <row r="70" spans="10:22" x14ac:dyDescent="0.25">
      <c r="U70" s="25"/>
      <c r="V70" s="26"/>
    </row>
    <row r="71" spans="10:22" x14ac:dyDescent="0.25">
      <c r="U71" s="25"/>
      <c r="V71" s="26"/>
    </row>
    <row r="72" spans="10:22" x14ac:dyDescent="0.25">
      <c r="U72" s="25"/>
      <c r="V72" s="26"/>
    </row>
    <row r="73" spans="10:22" x14ac:dyDescent="0.25">
      <c r="U73" s="25"/>
      <c r="V73" s="26"/>
    </row>
    <row r="74" spans="10:22" x14ac:dyDescent="0.25">
      <c r="U74" s="25"/>
      <c r="V74" s="26"/>
    </row>
    <row r="75" spans="10:22" x14ac:dyDescent="0.25">
      <c r="U75" s="25"/>
      <c r="V75" s="26"/>
    </row>
    <row r="76" spans="10:22" x14ac:dyDescent="0.25">
      <c r="U76" s="25"/>
      <c r="V76" s="26"/>
    </row>
    <row r="77" spans="10:22" x14ac:dyDescent="0.25">
      <c r="U77" s="25"/>
      <c r="V77" s="26"/>
    </row>
    <row r="78" spans="10:22" x14ac:dyDescent="0.25">
      <c r="U78" s="25"/>
      <c r="V78" s="26"/>
    </row>
    <row r="79" spans="10:22" x14ac:dyDescent="0.25">
      <c r="U79" s="25"/>
      <c r="V79" s="26"/>
    </row>
    <row r="80" spans="10:22" x14ac:dyDescent="0.25">
      <c r="U80" s="25"/>
      <c r="V80" s="26"/>
    </row>
    <row r="81" spans="21:22" x14ac:dyDescent="0.25">
      <c r="U81" s="25"/>
      <c r="V81" s="26"/>
    </row>
    <row r="82" spans="21:22" x14ac:dyDescent="0.25">
      <c r="U82" s="25"/>
      <c r="V82" s="26"/>
    </row>
    <row r="83" spans="21:22" x14ac:dyDescent="0.25">
      <c r="U83" s="25"/>
      <c r="V83" s="26"/>
    </row>
    <row r="84" spans="21:22" x14ac:dyDescent="0.25">
      <c r="U84" s="25"/>
      <c r="V84" s="26"/>
    </row>
    <row r="85" spans="21:22" x14ac:dyDescent="0.25">
      <c r="U85" s="25"/>
      <c r="V85" s="26"/>
    </row>
    <row r="86" spans="21:22" x14ac:dyDescent="0.25">
      <c r="U86" s="25"/>
      <c r="V86" s="26"/>
    </row>
    <row r="87" spans="21:22" x14ac:dyDescent="0.25">
      <c r="U87" s="25"/>
      <c r="V87" s="26"/>
    </row>
    <row r="88" spans="21:22" x14ac:dyDescent="0.25">
      <c r="U88" s="25"/>
      <c r="V88" s="26"/>
    </row>
    <row r="89" spans="21:22" x14ac:dyDescent="0.25">
      <c r="U89" s="25"/>
      <c r="V89" s="26"/>
    </row>
    <row r="90" spans="21:22" x14ac:dyDescent="0.25">
      <c r="U90" s="25"/>
      <c r="V90" s="26"/>
    </row>
    <row r="91" spans="21:22" x14ac:dyDescent="0.25">
      <c r="U91" s="25"/>
      <c r="V91" s="26"/>
    </row>
    <row r="92" spans="21:22" x14ac:dyDescent="0.25">
      <c r="U92" s="25"/>
      <c r="V92" s="26"/>
    </row>
    <row r="93" spans="21:22" x14ac:dyDescent="0.25">
      <c r="U93" s="25"/>
      <c r="V93" s="26"/>
    </row>
    <row r="94" spans="21:22" x14ac:dyDescent="0.25">
      <c r="U94" s="25"/>
      <c r="V94" s="26"/>
    </row>
    <row r="95" spans="21:22" x14ac:dyDescent="0.25">
      <c r="U95" s="25"/>
      <c r="V95" s="26"/>
    </row>
    <row r="96" spans="21:22" x14ac:dyDescent="0.25">
      <c r="U96" s="25"/>
      <c r="V96" s="26"/>
    </row>
    <row r="97" spans="21:22" x14ac:dyDescent="0.25">
      <c r="U97" s="25"/>
      <c r="V97" s="26"/>
    </row>
    <row r="98" spans="21:22" x14ac:dyDescent="0.25">
      <c r="U98" s="25"/>
      <c r="V98" s="26"/>
    </row>
    <row r="99" spans="21:22" x14ac:dyDescent="0.25">
      <c r="U99" s="25"/>
      <c r="V99" s="26"/>
    </row>
    <row r="100" spans="21:22" x14ac:dyDescent="0.25">
      <c r="U100" s="25"/>
      <c r="V100" s="26"/>
    </row>
    <row r="101" spans="21:22" x14ac:dyDescent="0.25">
      <c r="U101" s="25"/>
      <c r="V101" s="26"/>
    </row>
    <row r="102" spans="21:22" x14ac:dyDescent="0.25">
      <c r="U102" s="25"/>
      <c r="V102" s="26"/>
    </row>
    <row r="103" spans="21:22" x14ac:dyDescent="0.25">
      <c r="U103" s="25"/>
      <c r="V103" s="26"/>
    </row>
    <row r="104" spans="21:22" x14ac:dyDescent="0.25">
      <c r="U104" s="25"/>
      <c r="V104" s="26"/>
    </row>
    <row r="105" spans="21:22" x14ac:dyDescent="0.25">
      <c r="U105" s="25"/>
      <c r="V105" s="26"/>
    </row>
    <row r="106" spans="21:22" x14ac:dyDescent="0.25">
      <c r="U106" s="25"/>
      <c r="V106" s="26"/>
    </row>
    <row r="107" spans="21:22" x14ac:dyDescent="0.25">
      <c r="U107" s="25"/>
      <c r="V107" s="26"/>
    </row>
    <row r="108" spans="21:22" x14ac:dyDescent="0.25">
      <c r="U108" s="25"/>
      <c r="V108" s="26"/>
    </row>
    <row r="109" spans="21:22" x14ac:dyDescent="0.25">
      <c r="U109" s="25"/>
      <c r="V109" s="26"/>
    </row>
    <row r="110" spans="21:22" x14ac:dyDescent="0.25">
      <c r="U110" s="25"/>
      <c r="V110" s="26"/>
    </row>
    <row r="111" spans="21:22" x14ac:dyDescent="0.25">
      <c r="U111" s="25"/>
      <c r="V111" s="26"/>
    </row>
    <row r="112" spans="21:22" x14ac:dyDescent="0.25">
      <c r="U112" s="25"/>
      <c r="V112" s="26"/>
    </row>
    <row r="113" spans="21:22" x14ac:dyDescent="0.25">
      <c r="U113" s="25"/>
      <c r="V113" s="26"/>
    </row>
    <row r="114" spans="21:22" x14ac:dyDescent="0.25">
      <c r="U114" s="25"/>
      <c r="V114" s="26"/>
    </row>
    <row r="115" spans="21:22" x14ac:dyDescent="0.25">
      <c r="U115" s="25"/>
      <c r="V115" s="26"/>
    </row>
    <row r="116" spans="21:22" x14ac:dyDescent="0.25">
      <c r="U116" s="25"/>
      <c r="V116" s="26"/>
    </row>
    <row r="117" spans="21:22" x14ac:dyDescent="0.25">
      <c r="U117" s="25"/>
      <c r="V117" s="26"/>
    </row>
    <row r="118" spans="21:22" x14ac:dyDescent="0.25">
      <c r="U118" s="25"/>
      <c r="V118" s="26"/>
    </row>
    <row r="119" spans="21:22" x14ac:dyDescent="0.25">
      <c r="U119" s="25"/>
      <c r="V119" s="26"/>
    </row>
    <row r="120" spans="21:22" x14ac:dyDescent="0.25">
      <c r="U120" s="25"/>
      <c r="V120" s="26"/>
    </row>
    <row r="121" spans="21:22" x14ac:dyDescent="0.25">
      <c r="U121" s="25"/>
      <c r="V121" s="26"/>
    </row>
    <row r="122" spans="21:22" x14ac:dyDescent="0.25">
      <c r="U122" s="25"/>
      <c r="V122" s="26"/>
    </row>
    <row r="123" spans="21:22" x14ac:dyDescent="0.25">
      <c r="U123" s="25"/>
      <c r="V123" s="26"/>
    </row>
    <row r="124" spans="21:22" x14ac:dyDescent="0.25">
      <c r="U124" s="25"/>
      <c r="V124" s="26"/>
    </row>
    <row r="125" spans="21:22" x14ac:dyDescent="0.25">
      <c r="U125" s="25"/>
      <c r="V125" s="26"/>
    </row>
    <row r="126" spans="21:22" x14ac:dyDescent="0.25">
      <c r="U126" s="25"/>
      <c r="V126" s="26"/>
    </row>
    <row r="127" spans="21:22" x14ac:dyDescent="0.25">
      <c r="U127" s="25"/>
      <c r="V127" s="26"/>
    </row>
    <row r="128" spans="21:22" x14ac:dyDescent="0.25">
      <c r="U128" s="25"/>
      <c r="V128" s="26"/>
    </row>
    <row r="129" spans="21:22" x14ac:dyDescent="0.25">
      <c r="U129" s="25"/>
      <c r="V129" s="26"/>
    </row>
    <row r="130" spans="21:22" x14ac:dyDescent="0.25">
      <c r="U130" s="25"/>
      <c r="V130" s="26"/>
    </row>
    <row r="131" spans="21:22" x14ac:dyDescent="0.25">
      <c r="U131" s="25"/>
      <c r="V131" s="26"/>
    </row>
    <row r="132" spans="21:22" x14ac:dyDescent="0.25">
      <c r="U132" s="25"/>
      <c r="V132" s="26"/>
    </row>
    <row r="133" spans="21:22" x14ac:dyDescent="0.25">
      <c r="U133" s="25"/>
      <c r="V133" s="26"/>
    </row>
    <row r="134" spans="21:22" x14ac:dyDescent="0.25">
      <c r="U134" s="25"/>
      <c r="V134" s="26"/>
    </row>
    <row r="135" spans="21:22" x14ac:dyDescent="0.25">
      <c r="U135" s="25"/>
      <c r="V135" s="26"/>
    </row>
    <row r="136" spans="21:22" x14ac:dyDescent="0.25">
      <c r="U136" s="25"/>
      <c r="V136" s="26"/>
    </row>
    <row r="137" spans="21:22" x14ac:dyDescent="0.25">
      <c r="U137" s="25"/>
      <c r="V137" s="26"/>
    </row>
    <row r="138" spans="21:22" x14ac:dyDescent="0.25">
      <c r="U138" s="25"/>
      <c r="V138" s="26"/>
    </row>
    <row r="139" spans="21:22" x14ac:dyDescent="0.25">
      <c r="U139" s="25"/>
      <c r="V139" s="26"/>
    </row>
    <row r="140" spans="21:22" x14ac:dyDescent="0.25">
      <c r="U140" s="25"/>
      <c r="V140" s="26"/>
    </row>
    <row r="141" spans="21:22" x14ac:dyDescent="0.25">
      <c r="U141" s="25"/>
      <c r="V141" s="26"/>
    </row>
    <row r="142" spans="21:22" x14ac:dyDescent="0.25">
      <c r="U142" s="25"/>
      <c r="V142" s="26"/>
    </row>
    <row r="143" spans="21:22" x14ac:dyDescent="0.25">
      <c r="U143" s="25"/>
      <c r="V143" s="26"/>
    </row>
    <row r="144" spans="21:22" x14ac:dyDescent="0.25">
      <c r="U144" s="25"/>
      <c r="V144" s="26"/>
    </row>
    <row r="145" spans="21:22" x14ac:dyDescent="0.25">
      <c r="U145" s="25"/>
      <c r="V145" s="26"/>
    </row>
    <row r="146" spans="21:22" x14ac:dyDescent="0.25">
      <c r="U146" s="25"/>
      <c r="V146" s="26"/>
    </row>
    <row r="147" spans="21:22" x14ac:dyDescent="0.25">
      <c r="U147" s="25"/>
      <c r="V147" s="26"/>
    </row>
    <row r="148" spans="21:22" x14ac:dyDescent="0.25">
      <c r="U148" s="25"/>
      <c r="V148" s="26"/>
    </row>
    <row r="149" spans="21:22" x14ac:dyDescent="0.25">
      <c r="U149" s="25"/>
      <c r="V149" s="26"/>
    </row>
    <row r="150" spans="21:22" x14ac:dyDescent="0.25">
      <c r="U150" s="25"/>
      <c r="V150" s="26"/>
    </row>
    <row r="151" spans="21:22" x14ac:dyDescent="0.25">
      <c r="U151" s="25"/>
      <c r="V151" s="26"/>
    </row>
    <row r="152" spans="21:22" x14ac:dyDescent="0.25">
      <c r="U152" s="25"/>
      <c r="V152" s="26"/>
    </row>
    <row r="153" spans="21:22" x14ac:dyDescent="0.25">
      <c r="U153" s="25"/>
      <c r="V153" s="26"/>
    </row>
    <row r="154" spans="21:22" x14ac:dyDescent="0.25">
      <c r="U154" s="25"/>
      <c r="V154" s="26"/>
    </row>
    <row r="155" spans="21:22" x14ac:dyDescent="0.25">
      <c r="U155" s="25"/>
      <c r="V155" s="26"/>
    </row>
    <row r="156" spans="21:22" x14ac:dyDescent="0.25">
      <c r="U156" s="25"/>
      <c r="V156" s="26"/>
    </row>
    <row r="157" spans="21:22" x14ac:dyDescent="0.25">
      <c r="U157" s="25"/>
      <c r="V157" s="26"/>
    </row>
    <row r="158" spans="21:22" x14ac:dyDescent="0.25">
      <c r="U158" s="25"/>
      <c r="V158" s="26"/>
    </row>
    <row r="159" spans="21:22" x14ac:dyDescent="0.25">
      <c r="U159" s="25"/>
      <c r="V159" s="26"/>
    </row>
    <row r="160" spans="21:22" x14ac:dyDescent="0.25">
      <c r="U160" s="25"/>
      <c r="V160" s="26"/>
    </row>
    <row r="161" spans="21:22" x14ac:dyDescent="0.25">
      <c r="U161" s="25"/>
      <c r="V161" s="26"/>
    </row>
    <row r="162" spans="21:22" x14ac:dyDescent="0.25">
      <c r="U162" s="25"/>
      <c r="V162" s="26"/>
    </row>
    <row r="163" spans="21:22" x14ac:dyDescent="0.25">
      <c r="U163" s="25"/>
      <c r="V163" s="26"/>
    </row>
    <row r="164" spans="21:22" x14ac:dyDescent="0.25">
      <c r="U164" s="25"/>
      <c r="V164" s="26"/>
    </row>
    <row r="165" spans="21:22" x14ac:dyDescent="0.25">
      <c r="U165" s="25"/>
      <c r="V165" s="26"/>
    </row>
    <row r="166" spans="21:22" x14ac:dyDescent="0.25">
      <c r="U166" s="25"/>
      <c r="V166" s="26"/>
    </row>
    <row r="167" spans="21:22" x14ac:dyDescent="0.25">
      <c r="U167" s="25"/>
      <c r="V167" s="26"/>
    </row>
    <row r="168" spans="21:22" x14ac:dyDescent="0.25">
      <c r="U168" s="25"/>
      <c r="V168" s="26"/>
    </row>
    <row r="169" spans="21:22" x14ac:dyDescent="0.25">
      <c r="U169" s="25"/>
      <c r="V169" s="26"/>
    </row>
    <row r="170" spans="21:22" x14ac:dyDescent="0.25">
      <c r="U170" s="25"/>
      <c r="V170" s="26"/>
    </row>
    <row r="171" spans="21:22" x14ac:dyDescent="0.25">
      <c r="U171" s="25"/>
      <c r="V171" s="26"/>
    </row>
    <row r="172" spans="21:22" x14ac:dyDescent="0.25">
      <c r="U172" s="25"/>
      <c r="V172" s="26"/>
    </row>
    <row r="173" spans="21:22" x14ac:dyDescent="0.25">
      <c r="U173" s="25"/>
      <c r="V173" s="26"/>
    </row>
    <row r="174" spans="21:22" x14ac:dyDescent="0.25">
      <c r="U174" s="25"/>
      <c r="V174" s="26"/>
    </row>
    <row r="175" spans="21:22" x14ac:dyDescent="0.25">
      <c r="U175" s="25"/>
      <c r="V175" s="26"/>
    </row>
    <row r="176" spans="21:22" x14ac:dyDescent="0.25">
      <c r="U176" s="25"/>
      <c r="V176" s="26"/>
    </row>
    <row r="177" spans="21:22" x14ac:dyDescent="0.25">
      <c r="U177" s="25"/>
      <c r="V177" s="26"/>
    </row>
    <row r="178" spans="21:22" x14ac:dyDescent="0.25">
      <c r="U178" s="25"/>
      <c r="V178" s="26"/>
    </row>
    <row r="179" spans="21:22" x14ac:dyDescent="0.25">
      <c r="U179" s="25"/>
      <c r="V179" s="26"/>
    </row>
    <row r="180" spans="21:22" x14ac:dyDescent="0.25">
      <c r="U180" s="25"/>
      <c r="V180" s="26"/>
    </row>
    <row r="181" spans="21:22" x14ac:dyDescent="0.25">
      <c r="U181" s="25"/>
      <c r="V181" s="26"/>
    </row>
    <row r="182" spans="21:22" x14ac:dyDescent="0.25">
      <c r="U182" s="25"/>
      <c r="V182" s="26"/>
    </row>
    <row r="183" spans="21:22" x14ac:dyDescent="0.25">
      <c r="U183" s="25"/>
      <c r="V183" s="26"/>
    </row>
    <row r="184" spans="21:22" x14ac:dyDescent="0.25">
      <c r="U184" s="25"/>
      <c r="V184" s="26"/>
    </row>
    <row r="185" spans="21:22" x14ac:dyDescent="0.25">
      <c r="U185" s="25"/>
      <c r="V185" s="26"/>
    </row>
    <row r="186" spans="21:22" x14ac:dyDescent="0.25">
      <c r="U186" s="25"/>
      <c r="V186" s="26"/>
    </row>
    <row r="187" spans="21:22" x14ac:dyDescent="0.25">
      <c r="U187" s="25"/>
      <c r="V187" s="26"/>
    </row>
    <row r="188" spans="21:22" x14ac:dyDescent="0.25">
      <c r="U188" s="25"/>
      <c r="V188" s="26"/>
    </row>
    <row r="189" spans="21:22" x14ac:dyDescent="0.25">
      <c r="U189" s="25"/>
      <c r="V189" s="26"/>
    </row>
    <row r="190" spans="21:22" x14ac:dyDescent="0.25">
      <c r="U190" s="25"/>
      <c r="V190" s="26"/>
    </row>
    <row r="191" spans="21:22" x14ac:dyDescent="0.25">
      <c r="U191" s="25"/>
      <c r="V191" s="26"/>
    </row>
    <row r="192" spans="21:22" x14ac:dyDescent="0.25">
      <c r="U192" s="25"/>
      <c r="V192" s="26"/>
    </row>
    <row r="193" spans="21:23" x14ac:dyDescent="0.25">
      <c r="U193" s="25"/>
      <c r="V193" s="26"/>
    </row>
    <row r="194" spans="21:23" x14ac:dyDescent="0.25">
      <c r="U194" s="25"/>
      <c r="V194" s="26"/>
    </row>
    <row r="195" spans="21:23" x14ac:dyDescent="0.25">
      <c r="U195" s="25"/>
      <c r="V195" s="26"/>
    </row>
    <row r="196" spans="21:23" x14ac:dyDescent="0.25">
      <c r="U196" s="25"/>
      <c r="V196" s="26"/>
    </row>
    <row r="197" spans="21:23" x14ac:dyDescent="0.25">
      <c r="U197" s="25"/>
      <c r="V197" s="26"/>
    </row>
    <row r="198" spans="21:23" x14ac:dyDescent="0.25">
      <c r="U198" s="25"/>
      <c r="V198" s="26"/>
    </row>
    <row r="199" spans="21:23" x14ac:dyDescent="0.25">
      <c r="U199" s="25"/>
      <c r="V199" s="26"/>
    </row>
    <row r="200" spans="21:23" x14ac:dyDescent="0.25">
      <c r="U200" s="25"/>
      <c r="V200" s="26"/>
    </row>
    <row r="201" spans="21:23" x14ac:dyDescent="0.25">
      <c r="U201" s="25"/>
      <c r="V201" s="26"/>
    </row>
    <row r="202" spans="21:23" x14ac:dyDescent="0.25">
      <c r="U202" s="25"/>
      <c r="V202" s="26"/>
    </row>
    <row r="203" spans="21:23" x14ac:dyDescent="0.25">
      <c r="U203" s="25"/>
      <c r="V203" s="26"/>
    </row>
    <row r="204" spans="21:23" x14ac:dyDescent="0.25">
      <c r="U204" s="25"/>
      <c r="V204" s="26"/>
    </row>
    <row r="205" spans="21:23" x14ac:dyDescent="0.25">
      <c r="V205" s="25"/>
      <c r="W205" s="26"/>
    </row>
    <row r="206" spans="21:23" x14ac:dyDescent="0.25">
      <c r="V206" s="25"/>
      <c r="W206" s="26"/>
    </row>
    <row r="207" spans="21:23" x14ac:dyDescent="0.25">
      <c r="V207" s="25"/>
      <c r="W207" s="26"/>
    </row>
    <row r="208" spans="21:23" x14ac:dyDescent="0.25">
      <c r="V208" s="25"/>
      <c r="W208" s="26"/>
    </row>
    <row r="209" spans="22:23" x14ac:dyDescent="0.25">
      <c r="V209" s="25"/>
      <c r="W209" s="26"/>
    </row>
    <row r="210" spans="22:23" x14ac:dyDescent="0.25">
      <c r="V210" s="25"/>
      <c r="W210" s="26"/>
    </row>
    <row r="211" spans="22:23" x14ac:dyDescent="0.25">
      <c r="V211" s="25"/>
      <c r="W211" s="26"/>
    </row>
    <row r="212" spans="22:23" x14ac:dyDescent="0.25">
      <c r="V212" s="25"/>
      <c r="W212" s="26"/>
    </row>
    <row r="213" spans="22:23" x14ac:dyDescent="0.25">
      <c r="V213" s="25"/>
      <c r="W213" s="26"/>
    </row>
    <row r="214" spans="22:23" x14ac:dyDescent="0.25">
      <c r="V214" s="25"/>
      <c r="W214" s="26"/>
    </row>
    <row r="215" spans="22:23" x14ac:dyDescent="0.25">
      <c r="V215" s="25"/>
      <c r="W215" s="26"/>
    </row>
    <row r="216" spans="22:23" x14ac:dyDescent="0.25">
      <c r="V216" s="25"/>
      <c r="W216" s="26"/>
    </row>
    <row r="217" spans="22:23" x14ac:dyDescent="0.25">
      <c r="V217" s="25"/>
      <c r="W217" s="26"/>
    </row>
    <row r="218" spans="22:23" x14ac:dyDescent="0.25">
      <c r="V218" s="25"/>
      <c r="W218" s="26"/>
    </row>
    <row r="219" spans="22:23" x14ac:dyDescent="0.25">
      <c r="V219" s="25"/>
      <c r="W219" s="26"/>
    </row>
    <row r="220" spans="22:23" x14ac:dyDescent="0.25">
      <c r="V220" s="25"/>
      <c r="W220" s="26"/>
    </row>
    <row r="221" spans="22:23" x14ac:dyDescent="0.25">
      <c r="V221" s="25"/>
      <c r="W221" s="26"/>
    </row>
    <row r="222" spans="22:23" x14ac:dyDescent="0.25">
      <c r="V222" s="25"/>
      <c r="W222" s="26"/>
    </row>
    <row r="223" spans="22:23" x14ac:dyDescent="0.25">
      <c r="V223" s="25"/>
      <c r="W223" s="26"/>
    </row>
    <row r="224" spans="22:23" x14ac:dyDescent="0.25">
      <c r="V224" s="25"/>
      <c r="W224" s="26"/>
    </row>
    <row r="225" spans="22:23" x14ac:dyDescent="0.25">
      <c r="V225" s="25"/>
      <c r="W225" s="26"/>
    </row>
    <row r="226" spans="22:23" x14ac:dyDescent="0.25">
      <c r="V226" s="25"/>
      <c r="W226" s="26"/>
    </row>
    <row r="227" spans="22:23" x14ac:dyDescent="0.25">
      <c r="V227" s="25"/>
      <c r="W227" s="26"/>
    </row>
    <row r="228" spans="22:23" x14ac:dyDescent="0.25">
      <c r="V228" s="25"/>
      <c r="W228" s="26"/>
    </row>
    <row r="229" spans="22:23" x14ac:dyDescent="0.25">
      <c r="V229" s="25"/>
      <c r="W229" s="26"/>
    </row>
    <row r="230" spans="22:23" x14ac:dyDescent="0.25">
      <c r="V230" s="25"/>
      <c r="W230" s="26"/>
    </row>
    <row r="231" spans="22:23" x14ac:dyDescent="0.25">
      <c r="V231" s="25"/>
      <c r="W231" s="26"/>
    </row>
    <row r="232" spans="22:23" x14ac:dyDescent="0.25">
      <c r="V232" s="25"/>
      <c r="W232" s="26"/>
    </row>
    <row r="233" spans="22:23" x14ac:dyDescent="0.25">
      <c r="V233" s="25"/>
      <c r="W233" s="26"/>
    </row>
    <row r="234" spans="22:23" x14ac:dyDescent="0.25">
      <c r="V234" s="25"/>
      <c r="W234" s="26"/>
    </row>
    <row r="235" spans="22:23" x14ac:dyDescent="0.25">
      <c r="V235" s="25"/>
      <c r="W235" s="26"/>
    </row>
    <row r="236" spans="22:23" x14ac:dyDescent="0.25">
      <c r="V236" s="25"/>
      <c r="W236" s="26"/>
    </row>
    <row r="237" spans="22:23" x14ac:dyDescent="0.25">
      <c r="V237" s="25"/>
      <c r="W237" s="26"/>
    </row>
    <row r="238" spans="22:23" x14ac:dyDescent="0.25">
      <c r="V238" s="25"/>
      <c r="W238" s="26"/>
    </row>
    <row r="239" spans="22:23" x14ac:dyDescent="0.25">
      <c r="V239" s="25"/>
      <c r="W239" s="26"/>
    </row>
    <row r="240" spans="22:23" x14ac:dyDescent="0.25">
      <c r="V240" s="25"/>
      <c r="W240" s="26"/>
    </row>
    <row r="241" spans="22:23" x14ac:dyDescent="0.25">
      <c r="V241" s="25"/>
      <c r="W241" s="26"/>
    </row>
    <row r="242" spans="22:23" x14ac:dyDescent="0.25">
      <c r="V242" s="25"/>
      <c r="W242" s="26"/>
    </row>
    <row r="243" spans="22:23" x14ac:dyDescent="0.25">
      <c r="V243" s="25"/>
      <c r="W243" s="26"/>
    </row>
    <row r="244" spans="22:23" x14ac:dyDescent="0.25">
      <c r="V244" s="25"/>
      <c r="W244" s="26"/>
    </row>
    <row r="245" spans="22:23" x14ac:dyDescent="0.25">
      <c r="V245" s="25"/>
      <c r="W245" s="26"/>
    </row>
    <row r="246" spans="22:23" x14ac:dyDescent="0.25">
      <c r="V246" s="25"/>
      <c r="W246" s="26"/>
    </row>
    <row r="247" spans="22:23" x14ac:dyDescent="0.25">
      <c r="V247" s="25"/>
      <c r="W247" s="26"/>
    </row>
    <row r="248" spans="22:23" x14ac:dyDescent="0.25">
      <c r="V248" s="25"/>
      <c r="W248" s="26"/>
    </row>
    <row r="249" spans="22:23" x14ac:dyDescent="0.25">
      <c r="V249" s="25"/>
      <c r="W249" s="26"/>
    </row>
    <row r="250" spans="22:23" x14ac:dyDescent="0.25">
      <c r="V250" s="25"/>
      <c r="W250" s="26"/>
    </row>
    <row r="251" spans="22:23" x14ac:dyDescent="0.25">
      <c r="V251" s="25"/>
      <c r="W251" s="26"/>
    </row>
    <row r="252" spans="22:23" x14ac:dyDescent="0.25">
      <c r="V252" s="25"/>
      <c r="W252" s="26"/>
    </row>
    <row r="253" spans="22:23" x14ac:dyDescent="0.25">
      <c r="V253" s="25"/>
      <c r="W253" s="26"/>
    </row>
    <row r="254" spans="22:23" x14ac:dyDescent="0.25">
      <c r="V254" s="25"/>
      <c r="W254" s="26"/>
    </row>
    <row r="255" spans="22:23" x14ac:dyDescent="0.25">
      <c r="V255" s="25"/>
      <c r="W255" s="26"/>
    </row>
    <row r="256" spans="22:23" x14ac:dyDescent="0.25">
      <c r="V256" s="25"/>
      <c r="W256" s="26"/>
    </row>
    <row r="257" spans="22:23" x14ac:dyDescent="0.25">
      <c r="V257" s="25"/>
      <c r="W257" s="26"/>
    </row>
    <row r="258" spans="22:23" x14ac:dyDescent="0.25">
      <c r="V258" s="25"/>
      <c r="W258" s="26"/>
    </row>
    <row r="259" spans="22:23" x14ac:dyDescent="0.25">
      <c r="V259" s="25"/>
      <c r="W259" s="26"/>
    </row>
    <row r="260" spans="22:23" x14ac:dyDescent="0.25">
      <c r="V260" s="25"/>
      <c r="W260" s="26"/>
    </row>
    <row r="261" spans="22:23" x14ac:dyDescent="0.25">
      <c r="V261" s="25"/>
      <c r="W261" s="26"/>
    </row>
    <row r="262" spans="22:23" x14ac:dyDescent="0.25">
      <c r="V262" s="25"/>
      <c r="W262" s="26"/>
    </row>
    <row r="263" spans="22:23" x14ac:dyDescent="0.25">
      <c r="V263" s="25"/>
      <c r="W263" s="26"/>
    </row>
    <row r="264" spans="22:23" x14ac:dyDescent="0.25">
      <c r="V264" s="25"/>
      <c r="W264" s="26"/>
    </row>
    <row r="265" spans="22:23" x14ac:dyDescent="0.25">
      <c r="V265" s="25"/>
      <c r="W265" s="26"/>
    </row>
    <row r="266" spans="22:23" x14ac:dyDescent="0.25">
      <c r="V266" s="25"/>
      <c r="W266" s="26"/>
    </row>
    <row r="267" spans="22:23" x14ac:dyDescent="0.25">
      <c r="V267" s="25"/>
      <c r="W267" s="26"/>
    </row>
    <row r="268" spans="22:23" x14ac:dyDescent="0.25">
      <c r="V268" s="25"/>
      <c r="W268" s="26"/>
    </row>
    <row r="269" spans="22:23" x14ac:dyDescent="0.25">
      <c r="V269" s="25"/>
      <c r="W269" s="26"/>
    </row>
    <row r="270" spans="22:23" x14ac:dyDescent="0.25">
      <c r="V270" s="25"/>
      <c r="W270" s="26"/>
    </row>
    <row r="271" spans="22:23" x14ac:dyDescent="0.25">
      <c r="V271" s="25"/>
      <c r="W271" s="26"/>
    </row>
    <row r="272" spans="22:23" x14ac:dyDescent="0.25">
      <c r="V272" s="25"/>
      <c r="W272" s="26"/>
    </row>
    <row r="273" spans="22:23" x14ac:dyDescent="0.25">
      <c r="V273" s="25"/>
      <c r="W273" s="26"/>
    </row>
    <row r="274" spans="22:23" x14ac:dyDescent="0.25">
      <c r="V274" s="25"/>
      <c r="W274" s="26"/>
    </row>
    <row r="275" spans="22:23" x14ac:dyDescent="0.25">
      <c r="V275" s="25"/>
      <c r="W275" s="26"/>
    </row>
    <row r="276" spans="22:23" x14ac:dyDescent="0.25">
      <c r="V276" s="25"/>
      <c r="W276" s="26"/>
    </row>
    <row r="277" spans="22:23" x14ac:dyDescent="0.25">
      <c r="V277" s="25"/>
      <c r="W277" s="26"/>
    </row>
    <row r="278" spans="22:23" x14ac:dyDescent="0.25">
      <c r="V278" s="25"/>
      <c r="W278" s="26"/>
    </row>
    <row r="279" spans="22:23" x14ac:dyDescent="0.25">
      <c r="V279" s="25"/>
      <c r="W279" s="26"/>
    </row>
    <row r="280" spans="22:23" x14ac:dyDescent="0.25">
      <c r="V280" s="25"/>
      <c r="W280" s="26"/>
    </row>
    <row r="281" spans="22:23" x14ac:dyDescent="0.25">
      <c r="V281" s="25"/>
      <c r="W281" s="26"/>
    </row>
    <row r="282" spans="22:23" x14ac:dyDescent="0.25">
      <c r="V282" s="25"/>
      <c r="W282" s="26"/>
    </row>
    <row r="283" spans="22:23" x14ac:dyDescent="0.25">
      <c r="V283" s="25"/>
      <c r="W283" s="26"/>
    </row>
    <row r="284" spans="22:23" x14ac:dyDescent="0.25">
      <c r="V284" s="25"/>
      <c r="W284" s="26"/>
    </row>
    <row r="285" spans="22:23" x14ac:dyDescent="0.25">
      <c r="V285" s="25"/>
      <c r="W285" s="26"/>
    </row>
    <row r="286" spans="22:23" x14ac:dyDescent="0.25">
      <c r="V286" s="25"/>
      <c r="W286" s="26"/>
    </row>
    <row r="287" spans="22:23" x14ac:dyDescent="0.25">
      <c r="V287" s="25"/>
      <c r="W287" s="26"/>
    </row>
    <row r="288" spans="22:23" x14ac:dyDescent="0.25">
      <c r="V288" s="25"/>
      <c r="W288" s="26"/>
    </row>
    <row r="289" spans="22:23" x14ac:dyDescent="0.25">
      <c r="V289" s="25"/>
      <c r="W289" s="26"/>
    </row>
    <row r="290" spans="22:23" x14ac:dyDescent="0.25">
      <c r="V290" s="25"/>
      <c r="W290" s="26"/>
    </row>
    <row r="291" spans="22:23" x14ac:dyDescent="0.25">
      <c r="V291" s="25"/>
      <c r="W291" s="26"/>
    </row>
    <row r="292" spans="22:23" x14ac:dyDescent="0.25">
      <c r="V292" s="25"/>
      <c r="W292" s="26"/>
    </row>
    <row r="293" spans="22:23" x14ac:dyDescent="0.25">
      <c r="V293" s="25"/>
      <c r="W293" s="26"/>
    </row>
    <row r="294" spans="22:23" x14ac:dyDescent="0.25">
      <c r="V294" s="25"/>
      <c r="W294" s="26"/>
    </row>
    <row r="295" spans="22:23" x14ac:dyDescent="0.25">
      <c r="V295" s="25"/>
      <c r="W295" s="26"/>
    </row>
    <row r="296" spans="22:23" x14ac:dyDescent="0.25">
      <c r="V296" s="25"/>
      <c r="W296" s="26"/>
    </row>
    <row r="297" spans="22:23" x14ac:dyDescent="0.25">
      <c r="V297" s="25"/>
      <c r="W297" s="26"/>
    </row>
    <row r="298" spans="22:23" x14ac:dyDescent="0.25">
      <c r="V298" s="25"/>
      <c r="W298" s="26"/>
    </row>
    <row r="299" spans="22:23" x14ac:dyDescent="0.25">
      <c r="V299" s="25"/>
      <c r="W299" s="26"/>
    </row>
    <row r="300" spans="22:23" x14ac:dyDescent="0.25">
      <c r="V300" s="25"/>
      <c r="W300" s="26"/>
    </row>
    <row r="301" spans="22:23" x14ac:dyDescent="0.25">
      <c r="V301" s="25"/>
      <c r="W301" s="26"/>
    </row>
    <row r="302" spans="22:23" x14ac:dyDescent="0.25">
      <c r="V302" s="25"/>
      <c r="W302" s="26"/>
    </row>
    <row r="303" spans="22:23" x14ac:dyDescent="0.25">
      <c r="V303" s="25"/>
      <c r="W303" s="26"/>
    </row>
    <row r="304" spans="22:23" x14ac:dyDescent="0.25">
      <c r="V304" s="25"/>
      <c r="W304" s="26"/>
    </row>
    <row r="305" spans="22:23" x14ac:dyDescent="0.25">
      <c r="V305" s="25"/>
      <c r="W305" s="26"/>
    </row>
    <row r="306" spans="22:23" x14ac:dyDescent="0.25">
      <c r="V306" s="25"/>
      <c r="W306" s="26"/>
    </row>
    <row r="307" spans="22:23" x14ac:dyDescent="0.25">
      <c r="V307" s="25"/>
      <c r="W307" s="26"/>
    </row>
    <row r="308" spans="22:23" x14ac:dyDescent="0.25">
      <c r="V308" s="25"/>
      <c r="W308" s="26"/>
    </row>
    <row r="309" spans="22:23" x14ac:dyDescent="0.25">
      <c r="V309" s="25"/>
      <c r="W309" s="26"/>
    </row>
    <row r="310" spans="22:23" x14ac:dyDescent="0.25">
      <c r="V310" s="25"/>
      <c r="W310" s="26"/>
    </row>
    <row r="311" spans="22:23" x14ac:dyDescent="0.25">
      <c r="V311" s="25"/>
      <c r="W311" s="26"/>
    </row>
    <row r="312" spans="22:23" x14ac:dyDescent="0.25">
      <c r="V312" s="25"/>
      <c r="W312" s="26"/>
    </row>
    <row r="313" spans="22:23" x14ac:dyDescent="0.25">
      <c r="V313" s="25"/>
      <c r="W313" s="26"/>
    </row>
    <row r="314" spans="22:23" x14ac:dyDescent="0.25">
      <c r="V314" s="25"/>
      <c r="W314" s="26"/>
    </row>
    <row r="315" spans="22:23" x14ac:dyDescent="0.25">
      <c r="V315" s="25"/>
      <c r="W315" s="26"/>
    </row>
    <row r="316" spans="22:23" x14ac:dyDescent="0.25">
      <c r="V316" s="25"/>
      <c r="W316" s="26"/>
    </row>
    <row r="317" spans="22:23" x14ac:dyDescent="0.25">
      <c r="V317" s="25"/>
      <c r="W317" s="26"/>
    </row>
    <row r="318" spans="22:23" x14ac:dyDescent="0.25">
      <c r="V318" s="25"/>
      <c r="W318" s="26"/>
    </row>
    <row r="319" spans="22:23" x14ac:dyDescent="0.25">
      <c r="V319" s="25"/>
      <c r="W319" s="26"/>
    </row>
    <row r="320" spans="22:23" x14ac:dyDescent="0.25">
      <c r="V320" s="25"/>
      <c r="W320" s="26"/>
    </row>
    <row r="321" spans="22:23" x14ac:dyDescent="0.25">
      <c r="V321" s="25"/>
      <c r="W321" s="26"/>
    </row>
    <row r="322" spans="22:23" x14ac:dyDescent="0.25">
      <c r="V322" s="25"/>
      <c r="W322" s="26"/>
    </row>
    <row r="323" spans="22:23" x14ac:dyDescent="0.25">
      <c r="V323" s="25"/>
      <c r="W323" s="26"/>
    </row>
    <row r="324" spans="22:23" x14ac:dyDescent="0.25">
      <c r="V324" s="25"/>
      <c r="W324" s="26"/>
    </row>
    <row r="325" spans="22:23" x14ac:dyDescent="0.25">
      <c r="V325" s="25"/>
      <c r="W325" s="26"/>
    </row>
    <row r="326" spans="22:23" x14ac:dyDescent="0.25">
      <c r="V326" s="25"/>
      <c r="W326" s="26"/>
    </row>
    <row r="327" spans="22:23" x14ac:dyDescent="0.25">
      <c r="V327" s="25"/>
      <c r="W327" s="26"/>
    </row>
    <row r="328" spans="22:23" x14ac:dyDescent="0.25">
      <c r="V328" s="25"/>
      <c r="W328" s="26"/>
    </row>
    <row r="329" spans="22:23" x14ac:dyDescent="0.25">
      <c r="V329" s="25"/>
      <c r="W329" s="26"/>
    </row>
    <row r="330" spans="22:23" x14ac:dyDescent="0.25">
      <c r="V330" s="25"/>
      <c r="W330" s="26"/>
    </row>
    <row r="331" spans="22:23" x14ac:dyDescent="0.25">
      <c r="V331" s="25"/>
      <c r="W331" s="26"/>
    </row>
    <row r="332" spans="22:23" x14ac:dyDescent="0.25">
      <c r="V332" s="25"/>
      <c r="W332" s="26"/>
    </row>
    <row r="333" spans="22:23" x14ac:dyDescent="0.25">
      <c r="V333" s="25"/>
      <c r="W333" s="26"/>
    </row>
    <row r="334" spans="22:23" x14ac:dyDescent="0.25">
      <c r="V334" s="25"/>
      <c r="W334" s="26"/>
    </row>
    <row r="335" spans="22:23" x14ac:dyDescent="0.25">
      <c r="V335" s="25"/>
      <c r="W335" s="26"/>
    </row>
    <row r="336" spans="22:23" x14ac:dyDescent="0.25">
      <c r="V336" s="25"/>
      <c r="W336" s="26"/>
    </row>
    <row r="337" spans="22:23" x14ac:dyDescent="0.25">
      <c r="V337" s="25"/>
      <c r="W337" s="26"/>
    </row>
    <row r="338" spans="22:23" x14ac:dyDescent="0.25">
      <c r="V338" s="25"/>
      <c r="W338" s="26"/>
    </row>
    <row r="339" spans="22:23" x14ac:dyDescent="0.25">
      <c r="V339" s="25"/>
      <c r="W339" s="26"/>
    </row>
    <row r="340" spans="22:23" x14ac:dyDescent="0.25">
      <c r="V340" s="25"/>
      <c r="W340" s="26"/>
    </row>
    <row r="341" spans="22:23" x14ac:dyDescent="0.25">
      <c r="V341" s="25"/>
      <c r="W341" s="26"/>
    </row>
    <row r="342" spans="22:23" x14ac:dyDescent="0.25">
      <c r="V342" s="25"/>
      <c r="W342" s="26"/>
    </row>
    <row r="343" spans="22:23" x14ac:dyDescent="0.25">
      <c r="V343" s="25"/>
      <c r="W343" s="26"/>
    </row>
    <row r="344" spans="22:23" x14ac:dyDescent="0.25">
      <c r="V344" s="25"/>
      <c r="W344" s="26"/>
    </row>
    <row r="345" spans="22:23" x14ac:dyDescent="0.25">
      <c r="V345" s="25"/>
      <c r="W345" s="26"/>
    </row>
    <row r="346" spans="22:23" x14ac:dyDescent="0.25">
      <c r="V346" s="25"/>
      <c r="W346" s="26"/>
    </row>
    <row r="347" spans="22:23" x14ac:dyDescent="0.25">
      <c r="V347" s="25"/>
      <c r="W347" s="26"/>
    </row>
    <row r="348" spans="22:23" x14ac:dyDescent="0.25">
      <c r="V348" s="25"/>
      <c r="W348" s="26"/>
    </row>
    <row r="349" spans="22:23" x14ac:dyDescent="0.25">
      <c r="V349" s="25"/>
      <c r="W349" s="26"/>
    </row>
    <row r="350" spans="22:23" x14ac:dyDescent="0.25">
      <c r="V350" s="25"/>
      <c r="W350" s="26"/>
    </row>
    <row r="351" spans="22:23" x14ac:dyDescent="0.25">
      <c r="V351" s="25"/>
      <c r="W351" s="26"/>
    </row>
    <row r="352" spans="22:23" x14ac:dyDescent="0.25">
      <c r="V352" s="25"/>
      <c r="W352" s="26"/>
    </row>
    <row r="353" spans="22:23" x14ac:dyDescent="0.25">
      <c r="V353" s="25"/>
      <c r="W353" s="26"/>
    </row>
    <row r="354" spans="22:23" x14ac:dyDescent="0.25">
      <c r="V354" s="25"/>
      <c r="W354" s="26"/>
    </row>
    <row r="355" spans="22:23" x14ac:dyDescent="0.25">
      <c r="V355" s="25"/>
      <c r="W355" s="26"/>
    </row>
    <row r="356" spans="22:23" x14ac:dyDescent="0.25">
      <c r="V356" s="25"/>
      <c r="W356" s="26"/>
    </row>
    <row r="357" spans="22:23" x14ac:dyDescent="0.25">
      <c r="V357" s="25"/>
      <c r="W357" s="26"/>
    </row>
    <row r="358" spans="22:23" x14ac:dyDescent="0.25">
      <c r="V358" s="25"/>
      <c r="W358" s="26"/>
    </row>
    <row r="359" spans="22:23" x14ac:dyDescent="0.25">
      <c r="V359" s="25"/>
      <c r="W359" s="26"/>
    </row>
    <row r="360" spans="22:23" x14ac:dyDescent="0.25">
      <c r="V360" s="25"/>
      <c r="W360" s="26"/>
    </row>
    <row r="361" spans="22:23" x14ac:dyDescent="0.25">
      <c r="V361" s="25"/>
      <c r="W361" s="26"/>
    </row>
    <row r="362" spans="22:23" x14ac:dyDescent="0.25">
      <c r="V362" s="25"/>
      <c r="W362" s="26"/>
    </row>
    <row r="363" spans="22:23" x14ac:dyDescent="0.25">
      <c r="V363" s="25"/>
      <c r="W363" s="26"/>
    </row>
    <row r="364" spans="22:23" x14ac:dyDescent="0.25">
      <c r="V364" s="25"/>
      <c r="W364" s="26"/>
    </row>
    <row r="365" spans="22:23" x14ac:dyDescent="0.25">
      <c r="V365" s="25"/>
      <c r="W365" s="26"/>
    </row>
    <row r="366" spans="22:23" x14ac:dyDescent="0.25">
      <c r="V366" s="25"/>
      <c r="W366" s="26"/>
    </row>
    <row r="367" spans="22:23" x14ac:dyDescent="0.25">
      <c r="V367" s="25"/>
      <c r="W367" s="26"/>
    </row>
    <row r="368" spans="22:23" x14ac:dyDescent="0.25">
      <c r="V368" s="25"/>
      <c r="W368" s="26"/>
    </row>
    <row r="369" spans="22:23" x14ac:dyDescent="0.25">
      <c r="V369" s="25"/>
      <c r="W369" s="26"/>
    </row>
    <row r="370" spans="22:23" x14ac:dyDescent="0.25">
      <c r="V370" s="25"/>
      <c r="W370" s="26"/>
    </row>
    <row r="371" spans="22:23" x14ac:dyDescent="0.25">
      <c r="V371" s="25"/>
      <c r="W371" s="26"/>
    </row>
    <row r="372" spans="22:23" x14ac:dyDescent="0.25">
      <c r="V372" s="25"/>
      <c r="W372" s="26"/>
    </row>
    <row r="373" spans="22:23" x14ac:dyDescent="0.25">
      <c r="V373" s="25"/>
      <c r="W373" s="26"/>
    </row>
    <row r="374" spans="22:23" x14ac:dyDescent="0.25">
      <c r="V374" s="25"/>
      <c r="W374" s="26"/>
    </row>
    <row r="375" spans="22:23" x14ac:dyDescent="0.25">
      <c r="V375" s="25"/>
      <c r="W375" s="26"/>
    </row>
    <row r="376" spans="22:23" x14ac:dyDescent="0.25">
      <c r="V376" s="25"/>
      <c r="W376" s="25"/>
    </row>
    <row r="377" spans="22:23" x14ac:dyDescent="0.25">
      <c r="V377" s="25"/>
      <c r="W377" s="25"/>
    </row>
    <row r="378" spans="22:23" x14ac:dyDescent="0.25">
      <c r="V378" s="25"/>
      <c r="W378" s="25"/>
    </row>
    <row r="379" spans="22:23" x14ac:dyDescent="0.25">
      <c r="V379" s="25"/>
      <c r="W379" s="25"/>
    </row>
    <row r="380" spans="22:23" x14ac:dyDescent="0.25">
      <c r="V380" s="25"/>
      <c r="W380" s="25"/>
    </row>
    <row r="381" spans="22:23" x14ac:dyDescent="0.25">
      <c r="V381" s="25"/>
      <c r="W381" s="25"/>
    </row>
    <row r="382" spans="22:23" x14ac:dyDescent="0.25">
      <c r="V382" s="25"/>
      <c r="W382" s="25"/>
    </row>
    <row r="383" spans="22:23" x14ac:dyDescent="0.25">
      <c r="V383" s="25"/>
      <c r="W383" s="25"/>
    </row>
    <row r="384" spans="22:23" x14ac:dyDescent="0.25">
      <c r="V384" s="25"/>
      <c r="W384" s="25"/>
    </row>
    <row r="385" spans="22:23" x14ac:dyDescent="0.25">
      <c r="V385" s="25"/>
      <c r="W385" s="25"/>
    </row>
    <row r="386" spans="22:23" x14ac:dyDescent="0.25">
      <c r="V386" s="25"/>
      <c r="W386" s="25"/>
    </row>
    <row r="387" spans="22:23" x14ac:dyDescent="0.25">
      <c r="V387" s="25"/>
      <c r="W387" s="25"/>
    </row>
    <row r="388" spans="22:23" x14ac:dyDescent="0.25">
      <c r="V388" s="25"/>
      <c r="W388" s="25"/>
    </row>
    <row r="389" spans="22:23" x14ac:dyDescent="0.25">
      <c r="V389" s="25"/>
      <c r="W389" s="25"/>
    </row>
    <row r="390" spans="22:23" x14ac:dyDescent="0.25">
      <c r="V390" s="25"/>
      <c r="W390" s="25"/>
    </row>
    <row r="391" spans="22:23" x14ac:dyDescent="0.25">
      <c r="V391" s="25"/>
      <c r="W391" s="25"/>
    </row>
    <row r="392" spans="22:23" x14ac:dyDescent="0.25">
      <c r="V392" s="25"/>
      <c r="W392" s="25"/>
    </row>
    <row r="393" spans="22:23" x14ac:dyDescent="0.25">
      <c r="V393" s="25"/>
      <c r="W393" s="25"/>
    </row>
    <row r="394" spans="22:23" x14ac:dyDescent="0.25">
      <c r="V394" s="25"/>
      <c r="W394" s="25"/>
    </row>
    <row r="395" spans="22:23" x14ac:dyDescent="0.25">
      <c r="V395" s="25"/>
      <c r="W395" s="25"/>
    </row>
    <row r="396" spans="22:23" x14ac:dyDescent="0.25">
      <c r="V396" s="25"/>
      <c r="W396" s="25"/>
    </row>
    <row r="397" spans="22:23" x14ac:dyDescent="0.25">
      <c r="V397" s="25"/>
      <c r="W397" s="25"/>
    </row>
    <row r="398" spans="22:23" x14ac:dyDescent="0.25">
      <c r="V398" s="25"/>
      <c r="W398" s="25"/>
    </row>
    <row r="399" spans="22:23" x14ac:dyDescent="0.25">
      <c r="V399" s="25"/>
      <c r="W399" s="25"/>
    </row>
    <row r="400" spans="22:23" x14ac:dyDescent="0.25">
      <c r="V400" s="25"/>
      <c r="W400" s="25"/>
    </row>
    <row r="401" spans="22:23" x14ac:dyDescent="0.25">
      <c r="V401" s="25"/>
      <c r="W401" s="25"/>
    </row>
    <row r="402" spans="22:23" x14ac:dyDescent="0.25">
      <c r="V402" s="25"/>
      <c r="W402" s="25"/>
    </row>
    <row r="403" spans="22:23" x14ac:dyDescent="0.25">
      <c r="V403" s="25"/>
      <c r="W403" s="25"/>
    </row>
    <row r="404" spans="22:23" x14ac:dyDescent="0.25">
      <c r="V404" s="25"/>
      <c r="W404" s="25"/>
    </row>
    <row r="405" spans="22:23" x14ac:dyDescent="0.25">
      <c r="V405" s="25"/>
      <c r="W405" s="25"/>
    </row>
    <row r="406" spans="22:23" x14ac:dyDescent="0.25">
      <c r="V406" s="25"/>
      <c r="W406" s="25"/>
    </row>
    <row r="407" spans="22:23" x14ac:dyDescent="0.25">
      <c r="V407" s="25"/>
      <c r="W407" s="25"/>
    </row>
    <row r="408" spans="22:23" x14ac:dyDescent="0.25">
      <c r="V408" s="25"/>
      <c r="W408" s="25"/>
    </row>
    <row r="409" spans="22:23" x14ac:dyDescent="0.25">
      <c r="V409" s="25"/>
      <c r="W409" s="25"/>
    </row>
    <row r="410" spans="22:23" x14ac:dyDescent="0.25">
      <c r="V410" s="25"/>
      <c r="W410" s="25"/>
    </row>
    <row r="411" spans="22:23" x14ac:dyDescent="0.25">
      <c r="V411" s="25"/>
      <c r="W411" s="25"/>
    </row>
    <row r="412" spans="22:23" x14ac:dyDescent="0.25">
      <c r="V412" s="25"/>
      <c r="W412" s="25"/>
    </row>
    <row r="413" spans="22:23" x14ac:dyDescent="0.25">
      <c r="V413" s="25"/>
      <c r="W413" s="25"/>
    </row>
    <row r="414" spans="22:23" x14ac:dyDescent="0.25">
      <c r="V414" s="25"/>
      <c r="W414" s="25"/>
    </row>
    <row r="415" spans="22:23" x14ac:dyDescent="0.25">
      <c r="V415" s="25"/>
      <c r="W415" s="25"/>
    </row>
    <row r="416" spans="22:23" x14ac:dyDescent="0.25">
      <c r="V416" s="25"/>
      <c r="W416" s="25"/>
    </row>
    <row r="417" spans="22:23" x14ac:dyDescent="0.25">
      <c r="V417" s="25"/>
      <c r="W417" s="25"/>
    </row>
    <row r="418" spans="22:23" x14ac:dyDescent="0.25">
      <c r="V418" s="25"/>
      <c r="W418" s="25"/>
    </row>
    <row r="419" spans="22:23" x14ac:dyDescent="0.25">
      <c r="V419" s="25"/>
      <c r="W419" s="25"/>
    </row>
    <row r="420" spans="22:23" x14ac:dyDescent="0.25">
      <c r="V420" s="25"/>
      <c r="W420" s="25"/>
    </row>
    <row r="421" spans="22:23" x14ac:dyDescent="0.25">
      <c r="V421" s="25"/>
      <c r="W421" s="25"/>
    </row>
    <row r="422" spans="22:23" x14ac:dyDescent="0.25">
      <c r="V422" s="25"/>
      <c r="W422" s="25"/>
    </row>
    <row r="423" spans="22:23" x14ac:dyDescent="0.25">
      <c r="V423" s="25"/>
      <c r="W423" s="25"/>
    </row>
    <row r="424" spans="22:23" x14ac:dyDescent="0.25">
      <c r="V424" s="25"/>
      <c r="W424" s="25"/>
    </row>
    <row r="425" spans="22:23" x14ac:dyDescent="0.25">
      <c r="V425" s="25"/>
      <c r="W425" s="25"/>
    </row>
    <row r="426" spans="22:23" x14ac:dyDescent="0.25">
      <c r="V426" s="25"/>
      <c r="W426" s="25"/>
    </row>
    <row r="427" spans="22:23" x14ac:dyDescent="0.25">
      <c r="V427" s="25"/>
      <c r="W427" s="25"/>
    </row>
    <row r="428" spans="22:23" x14ac:dyDescent="0.25">
      <c r="V428" s="25"/>
      <c r="W428" s="25"/>
    </row>
    <row r="429" spans="22:23" x14ac:dyDescent="0.25">
      <c r="V429" s="25"/>
      <c r="W429" s="25"/>
    </row>
    <row r="430" spans="22:23" x14ac:dyDescent="0.25">
      <c r="V430" s="25"/>
      <c r="W430" s="25"/>
    </row>
    <row r="431" spans="22:23" x14ac:dyDescent="0.25">
      <c r="V431" s="25"/>
      <c r="W431" s="25"/>
    </row>
    <row r="432" spans="22:23" x14ac:dyDescent="0.25">
      <c r="V432" s="25"/>
      <c r="W432" s="25"/>
    </row>
    <row r="433" spans="22:23" x14ac:dyDescent="0.25">
      <c r="V433" s="25"/>
      <c r="W433" s="25"/>
    </row>
    <row r="434" spans="22:23" x14ac:dyDescent="0.25">
      <c r="V434" s="25"/>
      <c r="W434" s="25"/>
    </row>
    <row r="435" spans="22:23" x14ac:dyDescent="0.25">
      <c r="V435" s="25"/>
      <c r="W435" s="25"/>
    </row>
    <row r="436" spans="22:23" x14ac:dyDescent="0.25">
      <c r="V436" s="25"/>
      <c r="W436" s="25"/>
    </row>
    <row r="437" spans="22:23" x14ac:dyDescent="0.25">
      <c r="V437" s="25"/>
      <c r="W437" s="25"/>
    </row>
    <row r="438" spans="22:23" x14ac:dyDescent="0.25">
      <c r="V438" s="25"/>
      <c r="W438" s="25"/>
    </row>
    <row r="439" spans="22:23" x14ac:dyDescent="0.25">
      <c r="V439" s="25"/>
      <c r="W439" s="25"/>
    </row>
    <row r="440" spans="22:23" x14ac:dyDescent="0.25">
      <c r="V440" s="25"/>
      <c r="W440" s="25"/>
    </row>
    <row r="441" spans="22:23" x14ac:dyDescent="0.25">
      <c r="V441" s="25"/>
      <c r="W441" s="25"/>
    </row>
    <row r="442" spans="22:23" x14ac:dyDescent="0.25">
      <c r="V442" s="25"/>
      <c r="W442" s="25"/>
    </row>
    <row r="443" spans="22:23" x14ac:dyDescent="0.25">
      <c r="V443" s="25"/>
      <c r="W443" s="25"/>
    </row>
    <row r="444" spans="22:23" x14ac:dyDescent="0.25">
      <c r="V444" s="25"/>
      <c r="W444" s="25"/>
    </row>
    <row r="445" spans="22:23" x14ac:dyDescent="0.25">
      <c r="V445" s="25"/>
      <c r="W445" s="25"/>
    </row>
    <row r="446" spans="22:23" x14ac:dyDescent="0.25">
      <c r="V446" s="25"/>
      <c r="W446" s="25"/>
    </row>
    <row r="447" spans="22:23" x14ac:dyDescent="0.25">
      <c r="V447" s="25"/>
      <c r="W447" s="25"/>
    </row>
    <row r="448" spans="22:23" x14ac:dyDescent="0.25">
      <c r="V448" s="25"/>
      <c r="W448" s="25"/>
    </row>
    <row r="449" spans="22:23" x14ac:dyDescent="0.25">
      <c r="V449" s="25"/>
      <c r="W449" s="25"/>
    </row>
    <row r="450" spans="22:23" x14ac:dyDescent="0.25">
      <c r="V450" s="25"/>
      <c r="W450" s="25"/>
    </row>
    <row r="451" spans="22:23" x14ac:dyDescent="0.25">
      <c r="V451" s="25"/>
      <c r="W451" s="25"/>
    </row>
    <row r="452" spans="22:23" x14ac:dyDescent="0.25">
      <c r="V452" s="25"/>
      <c r="W452" s="25"/>
    </row>
    <row r="453" spans="22:23" x14ac:dyDescent="0.25">
      <c r="V453" s="25"/>
      <c r="W453" s="25"/>
    </row>
    <row r="454" spans="22:23" x14ac:dyDescent="0.25">
      <c r="V454" s="25"/>
      <c r="W454" s="25"/>
    </row>
    <row r="455" spans="22:23" x14ac:dyDescent="0.25">
      <c r="V455" s="25"/>
      <c r="W455" s="25"/>
    </row>
    <row r="456" spans="22:23" x14ac:dyDescent="0.25">
      <c r="V456" s="25"/>
      <c r="W456" s="25"/>
    </row>
    <row r="457" spans="22:23" x14ac:dyDescent="0.25">
      <c r="V457" s="25"/>
      <c r="W457" s="25"/>
    </row>
    <row r="458" spans="22:23" x14ac:dyDescent="0.25">
      <c r="V458" s="25"/>
      <c r="W458" s="25"/>
    </row>
    <row r="459" spans="22:23" x14ac:dyDescent="0.25">
      <c r="V459" s="25"/>
      <c r="W459" s="25"/>
    </row>
    <row r="460" spans="22:23" x14ac:dyDescent="0.25">
      <c r="V460" s="25"/>
      <c r="W460" s="25"/>
    </row>
    <row r="461" spans="22:23" x14ac:dyDescent="0.25">
      <c r="V461" s="25"/>
      <c r="W461" s="25"/>
    </row>
    <row r="462" spans="22:23" x14ac:dyDescent="0.25">
      <c r="V462" s="25"/>
      <c r="W462" s="25"/>
    </row>
    <row r="463" spans="22:23" x14ac:dyDescent="0.25">
      <c r="V463" s="25"/>
      <c r="W463" s="25"/>
    </row>
    <row r="464" spans="22:23" x14ac:dyDescent="0.25">
      <c r="V464" s="25"/>
      <c r="W464" s="25"/>
    </row>
    <row r="465" spans="22:23" x14ac:dyDescent="0.25">
      <c r="V465" s="25"/>
      <c r="W465" s="25"/>
    </row>
    <row r="466" spans="22:23" x14ac:dyDescent="0.25">
      <c r="V466" s="25"/>
      <c r="W466" s="25"/>
    </row>
    <row r="467" spans="22:23" x14ac:dyDescent="0.25">
      <c r="V467" s="25"/>
      <c r="W467" s="25"/>
    </row>
    <row r="468" spans="22:23" x14ac:dyDescent="0.25">
      <c r="V468" s="25"/>
      <c r="W468" s="25"/>
    </row>
    <row r="469" spans="22:23" x14ac:dyDescent="0.25">
      <c r="V469" s="25"/>
      <c r="W469" s="25"/>
    </row>
    <row r="470" spans="22:23" x14ac:dyDescent="0.25">
      <c r="V470" s="25"/>
      <c r="W470" s="25"/>
    </row>
    <row r="471" spans="22:23" x14ac:dyDescent="0.25">
      <c r="V471" s="25"/>
      <c r="W471" s="25"/>
    </row>
    <row r="472" spans="22:23" x14ac:dyDescent="0.25">
      <c r="V472" s="25"/>
      <c r="W472" s="25"/>
    </row>
    <row r="473" spans="22:23" x14ac:dyDescent="0.25">
      <c r="V473" s="25"/>
      <c r="W473" s="25"/>
    </row>
    <row r="474" spans="22:23" x14ac:dyDescent="0.25">
      <c r="V474" s="25"/>
      <c r="W474" s="25"/>
    </row>
    <row r="475" spans="22:23" x14ac:dyDescent="0.25">
      <c r="V475" s="25"/>
      <c r="W475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1101</v>
      </c>
    </row>
    <row r="2" spans="1:1" x14ac:dyDescent="0.25">
      <c r="A2" t="s">
        <v>1102</v>
      </c>
    </row>
    <row r="3" spans="1:1" x14ac:dyDescent="0.25">
      <c r="A3" t="s">
        <v>1103</v>
      </c>
    </row>
    <row r="4" spans="1:1" x14ac:dyDescent="0.25">
      <c r="A4" t="s">
        <v>1104</v>
      </c>
    </row>
    <row r="5" spans="1:1" x14ac:dyDescent="0.25">
      <c r="A5" t="s">
        <v>1105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B62" sqref="B62:B63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411</v>
      </c>
      <c r="F2" s="11">
        <f>IF(B2&gt;0,1,0)</f>
        <v>1</v>
      </c>
      <c r="G2" s="11">
        <f>B2*(E2-F2)</f>
        <v>20500000</v>
      </c>
    </row>
    <row r="3" spans="1:7" x14ac:dyDescent="0.25">
      <c r="A3" s="11" t="s">
        <v>472</v>
      </c>
      <c r="B3" s="3">
        <v>673</v>
      </c>
      <c r="C3" s="11" t="s">
        <v>938</v>
      </c>
      <c r="D3" s="11">
        <v>32</v>
      </c>
      <c r="E3" s="11">
        <f t="shared" ref="E3:E45" si="0">E4+D3</f>
        <v>366</v>
      </c>
      <c r="F3" s="11">
        <f t="shared" ref="F3:F69" si="1">IF(B3&gt;0,1,0)</f>
        <v>1</v>
      </c>
      <c r="G3" s="11">
        <f t="shared" ref="G3:G69" si="2">B3*(E3-F3)</f>
        <v>245645</v>
      </c>
    </row>
    <row r="4" spans="1:7" x14ac:dyDescent="0.25">
      <c r="A4" s="11" t="s">
        <v>510</v>
      </c>
      <c r="B4" s="3">
        <v>503</v>
      </c>
      <c r="C4" s="11" t="s">
        <v>938</v>
      </c>
      <c r="D4" s="11">
        <v>31</v>
      </c>
      <c r="E4" s="11">
        <f t="shared" si="0"/>
        <v>334</v>
      </c>
      <c r="F4" s="11">
        <f t="shared" si="1"/>
        <v>1</v>
      </c>
      <c r="G4" s="11">
        <f t="shared" si="2"/>
        <v>167499</v>
      </c>
    </row>
    <row r="5" spans="1:7" x14ac:dyDescent="0.25">
      <c r="A5" s="11" t="s">
        <v>551</v>
      </c>
      <c r="B5" s="3">
        <v>478</v>
      </c>
      <c r="C5" s="11" t="s">
        <v>938</v>
      </c>
      <c r="D5" s="11">
        <v>31</v>
      </c>
      <c r="E5" s="11">
        <f t="shared" si="0"/>
        <v>303</v>
      </c>
      <c r="F5" s="11">
        <f t="shared" si="1"/>
        <v>1</v>
      </c>
      <c r="G5" s="11">
        <f t="shared" si="2"/>
        <v>144356</v>
      </c>
    </row>
    <row r="6" spans="1:7" x14ac:dyDescent="0.25">
      <c r="A6" s="11" t="s">
        <v>585</v>
      </c>
      <c r="B6" s="3">
        <v>482</v>
      </c>
      <c r="C6" s="11" t="s">
        <v>938</v>
      </c>
      <c r="D6" s="11">
        <v>31</v>
      </c>
      <c r="E6" s="11">
        <f t="shared" si="0"/>
        <v>272</v>
      </c>
      <c r="F6" s="11">
        <f t="shared" si="1"/>
        <v>1</v>
      </c>
      <c r="G6" s="11">
        <f t="shared" si="2"/>
        <v>130622</v>
      </c>
    </row>
    <row r="7" spans="1:7" x14ac:dyDescent="0.25">
      <c r="A7" s="11" t="s">
        <v>628</v>
      </c>
      <c r="B7" s="3">
        <v>487</v>
      </c>
      <c r="C7" s="11" t="s">
        <v>938</v>
      </c>
      <c r="D7" s="11">
        <v>31</v>
      </c>
      <c r="E7" s="11">
        <f t="shared" si="0"/>
        <v>241</v>
      </c>
      <c r="F7" s="11">
        <f t="shared" si="1"/>
        <v>1</v>
      </c>
      <c r="G7" s="11">
        <f t="shared" si="2"/>
        <v>116880</v>
      </c>
    </row>
    <row r="8" spans="1:7" x14ac:dyDescent="0.25">
      <c r="A8" s="11" t="s">
        <v>631</v>
      </c>
      <c r="B8" s="3">
        <v>491</v>
      </c>
      <c r="C8" s="11" t="s">
        <v>938</v>
      </c>
      <c r="D8" s="11">
        <v>31</v>
      </c>
      <c r="E8" s="11">
        <f t="shared" si="0"/>
        <v>210</v>
      </c>
      <c r="F8" s="11">
        <f t="shared" si="1"/>
        <v>1</v>
      </c>
      <c r="G8" s="11">
        <f t="shared" si="2"/>
        <v>102619</v>
      </c>
    </row>
    <row r="9" spans="1:7" x14ac:dyDescent="0.25">
      <c r="A9" s="11" t="s">
        <v>632</v>
      </c>
      <c r="B9" s="3">
        <v>496</v>
      </c>
      <c r="C9" s="11" t="s">
        <v>938</v>
      </c>
      <c r="D9" s="11">
        <v>30</v>
      </c>
      <c r="E9" s="11">
        <f t="shared" si="0"/>
        <v>179</v>
      </c>
      <c r="F9" s="11">
        <f t="shared" si="1"/>
        <v>1</v>
      </c>
      <c r="G9" s="11">
        <f t="shared" si="2"/>
        <v>88288</v>
      </c>
    </row>
    <row r="10" spans="1:7" x14ac:dyDescent="0.25">
      <c r="A10" s="11" t="s">
        <v>633</v>
      </c>
      <c r="B10" s="3">
        <v>440</v>
      </c>
      <c r="C10" s="11" t="s">
        <v>938</v>
      </c>
      <c r="D10" s="11">
        <v>30</v>
      </c>
      <c r="E10" s="11">
        <f t="shared" si="0"/>
        <v>149</v>
      </c>
      <c r="F10" s="11">
        <f t="shared" si="1"/>
        <v>1</v>
      </c>
      <c r="G10" s="11">
        <f t="shared" si="2"/>
        <v>65120</v>
      </c>
    </row>
    <row r="11" spans="1:7" x14ac:dyDescent="0.25">
      <c r="A11" s="11" t="s">
        <v>634</v>
      </c>
      <c r="B11" s="3">
        <v>444</v>
      </c>
      <c r="C11" s="11" t="s">
        <v>938</v>
      </c>
      <c r="D11" s="11">
        <v>25</v>
      </c>
      <c r="E11" s="11">
        <f t="shared" si="0"/>
        <v>119</v>
      </c>
      <c r="F11" s="11">
        <f t="shared" si="1"/>
        <v>1</v>
      </c>
      <c r="G11" s="11">
        <f t="shared" si="2"/>
        <v>52392</v>
      </c>
    </row>
    <row r="12" spans="1:7" x14ac:dyDescent="0.25">
      <c r="A12" s="11" t="s">
        <v>816</v>
      </c>
      <c r="B12" s="3">
        <v>-10000</v>
      </c>
      <c r="C12" s="11" t="s">
        <v>503</v>
      </c>
      <c r="D12" s="11">
        <v>4</v>
      </c>
      <c r="E12" s="11">
        <f t="shared" si="0"/>
        <v>94</v>
      </c>
      <c r="F12" s="11">
        <f t="shared" si="1"/>
        <v>0</v>
      </c>
      <c r="G12" s="11">
        <f t="shared" si="2"/>
        <v>-940000</v>
      </c>
    </row>
    <row r="13" spans="1:7" x14ac:dyDescent="0.25">
      <c r="A13" s="11" t="s">
        <v>922</v>
      </c>
      <c r="B13" s="3">
        <v>436</v>
      </c>
      <c r="C13" s="11" t="s">
        <v>831</v>
      </c>
      <c r="D13" s="11">
        <v>3</v>
      </c>
      <c r="E13" s="11">
        <f t="shared" si="0"/>
        <v>90</v>
      </c>
      <c r="F13" s="11">
        <f t="shared" si="1"/>
        <v>1</v>
      </c>
      <c r="G13" s="11">
        <f t="shared" si="2"/>
        <v>38804</v>
      </c>
    </row>
    <row r="14" spans="1:7" x14ac:dyDescent="0.25">
      <c r="A14" s="11" t="s">
        <v>834</v>
      </c>
      <c r="B14" s="3">
        <v>1000000</v>
      </c>
      <c r="C14" s="11" t="s">
        <v>837</v>
      </c>
      <c r="D14" s="11">
        <v>3</v>
      </c>
      <c r="E14" s="11">
        <f t="shared" si="0"/>
        <v>87</v>
      </c>
      <c r="F14" s="11">
        <f t="shared" si="1"/>
        <v>1</v>
      </c>
      <c r="G14" s="11">
        <f t="shared" si="2"/>
        <v>86000000</v>
      </c>
    </row>
    <row r="15" spans="1:7" x14ac:dyDescent="0.25">
      <c r="A15" s="11" t="s">
        <v>839</v>
      </c>
      <c r="B15" s="3">
        <v>-95000</v>
      </c>
      <c r="C15" s="11" t="s">
        <v>503</v>
      </c>
      <c r="D15" s="11">
        <v>0</v>
      </c>
      <c r="E15" s="11">
        <f t="shared" si="0"/>
        <v>84</v>
      </c>
      <c r="F15" s="11">
        <f t="shared" si="1"/>
        <v>0</v>
      </c>
      <c r="G15" s="11">
        <f t="shared" si="2"/>
        <v>-7980000</v>
      </c>
    </row>
    <row r="16" spans="1:7" x14ac:dyDescent="0.25">
      <c r="A16" s="11" t="s">
        <v>839</v>
      </c>
      <c r="B16" s="3">
        <v>-70600</v>
      </c>
      <c r="C16" s="11" t="s">
        <v>840</v>
      </c>
      <c r="D16" s="11">
        <v>0</v>
      </c>
      <c r="E16" s="11">
        <f t="shared" si="0"/>
        <v>84</v>
      </c>
      <c r="F16" s="11">
        <f t="shared" si="1"/>
        <v>0</v>
      </c>
      <c r="G16" s="11">
        <f t="shared" si="2"/>
        <v>-5930400</v>
      </c>
    </row>
    <row r="17" spans="1:7" x14ac:dyDescent="0.25">
      <c r="A17" s="11" t="s">
        <v>839</v>
      </c>
      <c r="B17" s="3">
        <v>-450030</v>
      </c>
      <c r="C17" s="11" t="s">
        <v>841</v>
      </c>
      <c r="D17" s="11">
        <v>2</v>
      </c>
      <c r="E17" s="11">
        <f t="shared" si="0"/>
        <v>84</v>
      </c>
      <c r="F17" s="11">
        <f t="shared" si="1"/>
        <v>0</v>
      </c>
      <c r="G17" s="11">
        <f t="shared" si="2"/>
        <v>-37802520</v>
      </c>
    </row>
    <row r="18" spans="1:7" x14ac:dyDescent="0.25">
      <c r="A18" s="11" t="s">
        <v>842</v>
      </c>
      <c r="B18" s="3">
        <v>-109047</v>
      </c>
      <c r="C18" s="11" t="s">
        <v>506</v>
      </c>
      <c r="D18" s="11">
        <v>1</v>
      </c>
      <c r="E18" s="11">
        <f t="shared" si="0"/>
        <v>82</v>
      </c>
      <c r="F18" s="11">
        <f t="shared" si="1"/>
        <v>0</v>
      </c>
      <c r="G18" s="11">
        <f t="shared" si="2"/>
        <v>-8941854</v>
      </c>
    </row>
    <row r="19" spans="1:7" x14ac:dyDescent="0.25">
      <c r="A19" s="11" t="s">
        <v>845</v>
      </c>
      <c r="B19" s="3">
        <v>-26000</v>
      </c>
      <c r="C19" s="11" t="s">
        <v>846</v>
      </c>
      <c r="D19" s="11">
        <v>3</v>
      </c>
      <c r="E19" s="11">
        <f t="shared" si="0"/>
        <v>81</v>
      </c>
      <c r="F19" s="11">
        <f t="shared" si="1"/>
        <v>0</v>
      </c>
      <c r="G19" s="11">
        <f t="shared" si="2"/>
        <v>-2106000</v>
      </c>
    </row>
    <row r="20" spans="1:7" x14ac:dyDescent="0.25">
      <c r="A20" s="11" t="s">
        <v>850</v>
      </c>
      <c r="B20" s="3">
        <v>-80000</v>
      </c>
      <c r="C20" s="11" t="s">
        <v>503</v>
      </c>
      <c r="D20" s="11">
        <v>2</v>
      </c>
      <c r="E20" s="11">
        <f t="shared" si="0"/>
        <v>78</v>
      </c>
      <c r="F20" s="11">
        <f t="shared" si="1"/>
        <v>0</v>
      </c>
      <c r="G20" s="11">
        <f t="shared" si="2"/>
        <v>-6240000</v>
      </c>
    </row>
    <row r="21" spans="1:7" x14ac:dyDescent="0.25">
      <c r="A21" s="11" t="s">
        <v>852</v>
      </c>
      <c r="B21" s="3">
        <v>-95000</v>
      </c>
      <c r="C21" s="11" t="s">
        <v>503</v>
      </c>
      <c r="D21" s="11">
        <v>2</v>
      </c>
      <c r="E21" s="11">
        <f t="shared" si="0"/>
        <v>76</v>
      </c>
      <c r="F21" s="11">
        <f t="shared" si="1"/>
        <v>0</v>
      </c>
      <c r="G21" s="11">
        <f t="shared" si="2"/>
        <v>-7220000</v>
      </c>
    </row>
    <row r="22" spans="1:7" x14ac:dyDescent="0.25">
      <c r="A22" s="11" t="s">
        <v>855</v>
      </c>
      <c r="B22" s="3">
        <v>-15670</v>
      </c>
      <c r="C22" s="11" t="s">
        <v>656</v>
      </c>
      <c r="D22" s="11">
        <v>1</v>
      </c>
      <c r="E22" s="11">
        <f t="shared" si="0"/>
        <v>74</v>
      </c>
      <c r="F22" s="11">
        <f t="shared" si="1"/>
        <v>0</v>
      </c>
      <c r="G22" s="11">
        <f t="shared" si="2"/>
        <v>-1159580</v>
      </c>
    </row>
    <row r="23" spans="1:7" x14ac:dyDescent="0.25">
      <c r="A23" s="11" t="s">
        <v>858</v>
      </c>
      <c r="B23" s="3">
        <v>-95500</v>
      </c>
      <c r="C23" s="11" t="s">
        <v>859</v>
      </c>
      <c r="D23" s="11">
        <v>1</v>
      </c>
      <c r="E23" s="11">
        <f t="shared" si="0"/>
        <v>73</v>
      </c>
      <c r="F23" s="11">
        <f t="shared" si="1"/>
        <v>0</v>
      </c>
      <c r="G23" s="11">
        <f t="shared" si="2"/>
        <v>-6971500</v>
      </c>
    </row>
    <row r="24" spans="1:7" x14ac:dyDescent="0.25">
      <c r="A24" s="11" t="s">
        <v>860</v>
      </c>
      <c r="B24" s="3">
        <v>2000000</v>
      </c>
      <c r="C24" s="11" t="s">
        <v>861</v>
      </c>
      <c r="D24" s="11">
        <v>0</v>
      </c>
      <c r="E24" s="11">
        <f t="shared" si="0"/>
        <v>72</v>
      </c>
      <c r="F24" s="11">
        <f t="shared" si="1"/>
        <v>1</v>
      </c>
      <c r="G24" s="11">
        <f t="shared" si="2"/>
        <v>142000000</v>
      </c>
    </row>
    <row r="25" spans="1:7" x14ac:dyDescent="0.25">
      <c r="A25" s="11" t="s">
        <v>860</v>
      </c>
      <c r="B25" s="3">
        <v>-131450</v>
      </c>
      <c r="C25" s="11" t="s">
        <v>863</v>
      </c>
      <c r="D25" s="11">
        <v>6</v>
      </c>
      <c r="E25" s="11">
        <f t="shared" si="0"/>
        <v>72</v>
      </c>
      <c r="F25" s="11">
        <f t="shared" si="1"/>
        <v>0</v>
      </c>
      <c r="G25" s="11">
        <f t="shared" si="2"/>
        <v>-9464400</v>
      </c>
    </row>
    <row r="26" spans="1:7" x14ac:dyDescent="0.25">
      <c r="A26" s="11" t="s">
        <v>865</v>
      </c>
      <c r="B26" s="3">
        <v>-15120</v>
      </c>
      <c r="C26" s="11" t="s">
        <v>656</v>
      </c>
      <c r="D26" s="11">
        <v>2</v>
      </c>
      <c r="E26" s="11">
        <f t="shared" si="0"/>
        <v>66</v>
      </c>
      <c r="F26" s="11">
        <f t="shared" si="1"/>
        <v>0</v>
      </c>
      <c r="G26" s="11">
        <f t="shared" si="2"/>
        <v>-997920</v>
      </c>
    </row>
    <row r="27" spans="1:7" x14ac:dyDescent="0.25">
      <c r="A27" s="11" t="s">
        <v>866</v>
      </c>
      <c r="B27" s="3">
        <v>-200000</v>
      </c>
      <c r="C27" s="11" t="s">
        <v>503</v>
      </c>
      <c r="D27" s="11">
        <v>1</v>
      </c>
      <c r="E27" s="11">
        <f t="shared" si="0"/>
        <v>64</v>
      </c>
      <c r="F27" s="11">
        <f t="shared" si="1"/>
        <v>0</v>
      </c>
      <c r="G27" s="11">
        <f t="shared" si="2"/>
        <v>-12800000</v>
      </c>
    </row>
    <row r="28" spans="1:7" x14ac:dyDescent="0.25">
      <c r="A28" s="11" t="s">
        <v>867</v>
      </c>
      <c r="B28" s="3">
        <v>-180500</v>
      </c>
      <c r="C28" s="11" t="s">
        <v>868</v>
      </c>
      <c r="D28" s="11">
        <v>3</v>
      </c>
      <c r="E28" s="11">
        <f t="shared" si="0"/>
        <v>63</v>
      </c>
      <c r="F28" s="11">
        <f t="shared" si="1"/>
        <v>0</v>
      </c>
      <c r="G28" s="11">
        <f t="shared" si="2"/>
        <v>-11371500</v>
      </c>
    </row>
    <row r="29" spans="1:7" x14ac:dyDescent="0.25">
      <c r="A29" s="11" t="s">
        <v>870</v>
      </c>
      <c r="B29" s="35">
        <v>7117</v>
      </c>
      <c r="C29" s="11" t="s">
        <v>877</v>
      </c>
      <c r="D29" s="11">
        <v>4</v>
      </c>
      <c r="E29" s="11">
        <f t="shared" si="0"/>
        <v>60</v>
      </c>
      <c r="F29" s="11">
        <f t="shared" si="1"/>
        <v>1</v>
      </c>
      <c r="G29" s="11">
        <f t="shared" si="2"/>
        <v>419903</v>
      </c>
    </row>
    <row r="30" spans="1:7" x14ac:dyDescent="0.25">
      <c r="A30" s="11" t="s">
        <v>885</v>
      </c>
      <c r="B30" s="3">
        <v>-10000</v>
      </c>
      <c r="C30" s="11" t="s">
        <v>503</v>
      </c>
      <c r="D30" s="11">
        <v>4</v>
      </c>
      <c r="E30" s="11">
        <f t="shared" si="0"/>
        <v>56</v>
      </c>
      <c r="F30" s="11">
        <f t="shared" si="1"/>
        <v>0</v>
      </c>
      <c r="G30" s="11">
        <f t="shared" si="2"/>
        <v>-560000</v>
      </c>
    </row>
    <row r="31" spans="1:7" x14ac:dyDescent="0.25">
      <c r="A31" s="11" t="s">
        <v>891</v>
      </c>
      <c r="B31" s="3">
        <v>-47053</v>
      </c>
      <c r="C31" s="11" t="s">
        <v>892</v>
      </c>
      <c r="D31" s="11">
        <v>6</v>
      </c>
      <c r="E31" s="11">
        <f t="shared" si="0"/>
        <v>52</v>
      </c>
      <c r="F31" s="11">
        <f t="shared" si="1"/>
        <v>0</v>
      </c>
      <c r="G31" s="11">
        <f t="shared" si="2"/>
        <v>-2446756</v>
      </c>
    </row>
    <row r="32" spans="1:7" x14ac:dyDescent="0.25">
      <c r="A32" s="11" t="s">
        <v>893</v>
      </c>
      <c r="B32" s="3">
        <v>-33870</v>
      </c>
      <c r="C32" s="11" t="s">
        <v>894</v>
      </c>
      <c r="D32" s="11">
        <v>4</v>
      </c>
      <c r="E32" s="11">
        <f t="shared" si="0"/>
        <v>46</v>
      </c>
      <c r="F32" s="11">
        <f t="shared" si="1"/>
        <v>0</v>
      </c>
      <c r="G32" s="11">
        <f t="shared" si="2"/>
        <v>-1558020</v>
      </c>
    </row>
    <row r="33" spans="1:9" x14ac:dyDescent="0.25">
      <c r="A33" s="11" t="s">
        <v>895</v>
      </c>
      <c r="B33" s="3">
        <v>-22000</v>
      </c>
      <c r="C33" s="11" t="s">
        <v>896</v>
      </c>
      <c r="D33" s="11">
        <v>0</v>
      </c>
      <c r="E33" s="11">
        <f t="shared" si="0"/>
        <v>42</v>
      </c>
      <c r="F33" s="11">
        <f t="shared" si="1"/>
        <v>0</v>
      </c>
      <c r="G33" s="11">
        <f t="shared" si="2"/>
        <v>-924000</v>
      </c>
    </row>
    <row r="34" spans="1:9" x14ac:dyDescent="0.25">
      <c r="A34" s="11" t="s">
        <v>895</v>
      </c>
      <c r="B34" s="3">
        <v>-250000</v>
      </c>
      <c r="C34" s="11" t="s">
        <v>897</v>
      </c>
      <c r="D34" s="11">
        <v>0</v>
      </c>
      <c r="E34" s="11">
        <f t="shared" si="0"/>
        <v>42</v>
      </c>
      <c r="F34" s="11">
        <f t="shared" si="1"/>
        <v>0</v>
      </c>
      <c r="G34" s="11">
        <f t="shared" si="2"/>
        <v>-10500000</v>
      </c>
    </row>
    <row r="35" spans="1:9" x14ac:dyDescent="0.25">
      <c r="A35" s="11" t="s">
        <v>895</v>
      </c>
      <c r="B35" s="3">
        <v>-650500</v>
      </c>
      <c r="C35" s="11" t="s">
        <v>898</v>
      </c>
      <c r="D35" s="11">
        <v>2</v>
      </c>
      <c r="E35" s="11">
        <f t="shared" si="0"/>
        <v>42</v>
      </c>
      <c r="F35" s="11">
        <f t="shared" si="1"/>
        <v>0</v>
      </c>
      <c r="G35" s="11">
        <f t="shared" si="2"/>
        <v>-27321000</v>
      </c>
    </row>
    <row r="36" spans="1:9" x14ac:dyDescent="0.25">
      <c r="A36" s="11" t="s">
        <v>899</v>
      </c>
      <c r="B36" s="3">
        <v>-200000</v>
      </c>
      <c r="C36" s="11" t="s">
        <v>503</v>
      </c>
      <c r="D36" s="11">
        <v>3</v>
      </c>
      <c r="E36" s="11">
        <f t="shared" si="0"/>
        <v>40</v>
      </c>
      <c r="F36" s="11">
        <f t="shared" si="1"/>
        <v>0</v>
      </c>
      <c r="G36" s="11">
        <f t="shared" si="2"/>
        <v>-8000000</v>
      </c>
    </row>
    <row r="37" spans="1:9" x14ac:dyDescent="0.25">
      <c r="A37" s="11" t="s">
        <v>900</v>
      </c>
      <c r="B37" s="3">
        <v>-200000</v>
      </c>
      <c r="C37" s="11" t="s">
        <v>503</v>
      </c>
      <c r="D37" s="11">
        <v>0</v>
      </c>
      <c r="E37" s="11">
        <f t="shared" si="0"/>
        <v>37</v>
      </c>
      <c r="F37" s="11">
        <f t="shared" si="1"/>
        <v>0</v>
      </c>
      <c r="G37" s="11">
        <f t="shared" si="2"/>
        <v>-7400000</v>
      </c>
    </row>
    <row r="38" spans="1:9" x14ac:dyDescent="0.25">
      <c r="A38" s="11" t="s">
        <v>923</v>
      </c>
      <c r="B38" s="3">
        <v>-26274</v>
      </c>
      <c r="C38" s="11" t="s">
        <v>61</v>
      </c>
      <c r="D38" s="11">
        <v>1</v>
      </c>
      <c r="E38" s="11">
        <f t="shared" si="0"/>
        <v>37</v>
      </c>
      <c r="F38" s="11">
        <f t="shared" si="1"/>
        <v>0</v>
      </c>
      <c r="G38" s="11">
        <f t="shared" si="2"/>
        <v>-972138</v>
      </c>
    </row>
    <row r="39" spans="1:9" x14ac:dyDescent="0.25">
      <c r="A39" s="11" t="s">
        <v>924</v>
      </c>
      <c r="B39" s="3">
        <v>-10070</v>
      </c>
      <c r="C39" s="11" t="s">
        <v>61</v>
      </c>
      <c r="D39" s="11">
        <v>1</v>
      </c>
      <c r="E39" s="11">
        <f t="shared" si="0"/>
        <v>36</v>
      </c>
      <c r="F39" s="11">
        <f t="shared" si="1"/>
        <v>0</v>
      </c>
      <c r="G39" s="11">
        <f t="shared" si="2"/>
        <v>-362520</v>
      </c>
    </row>
    <row r="40" spans="1:9" x14ac:dyDescent="0.25">
      <c r="A40" s="11" t="s">
        <v>925</v>
      </c>
      <c r="B40" s="3">
        <v>-30000</v>
      </c>
      <c r="C40" s="11" t="s">
        <v>926</v>
      </c>
      <c r="D40" s="11">
        <v>5</v>
      </c>
      <c r="E40" s="11">
        <f t="shared" si="0"/>
        <v>35</v>
      </c>
      <c r="F40" s="11">
        <f t="shared" si="1"/>
        <v>0</v>
      </c>
      <c r="G40" s="11">
        <f t="shared" si="2"/>
        <v>-1050000</v>
      </c>
    </row>
    <row r="41" spans="1:9" x14ac:dyDescent="0.25">
      <c r="A41" s="11" t="s">
        <v>908</v>
      </c>
      <c r="B41" s="3">
        <v>7481</v>
      </c>
      <c r="C41" s="11" t="s">
        <v>927</v>
      </c>
      <c r="D41" s="11">
        <v>1</v>
      </c>
      <c r="E41" s="11">
        <f t="shared" si="0"/>
        <v>30</v>
      </c>
      <c r="F41" s="11">
        <f t="shared" si="1"/>
        <v>1</v>
      </c>
      <c r="G41" s="11">
        <f t="shared" si="2"/>
        <v>216949</v>
      </c>
    </row>
    <row r="42" spans="1:9" x14ac:dyDescent="0.25">
      <c r="A42" s="11" t="s">
        <v>911</v>
      </c>
      <c r="B42" s="3">
        <v>1000000</v>
      </c>
      <c r="C42" s="11" t="s">
        <v>912</v>
      </c>
      <c r="D42" s="11">
        <v>2</v>
      </c>
      <c r="E42" s="11">
        <f t="shared" si="0"/>
        <v>29</v>
      </c>
      <c r="F42" s="11">
        <f t="shared" si="1"/>
        <v>1</v>
      </c>
      <c r="G42" s="11">
        <f t="shared" si="2"/>
        <v>28000000</v>
      </c>
    </row>
    <row r="43" spans="1:9" x14ac:dyDescent="0.25">
      <c r="A43" s="11" t="s">
        <v>928</v>
      </c>
      <c r="B43" s="3">
        <v>-39330</v>
      </c>
      <c r="C43" s="11" t="s">
        <v>914</v>
      </c>
      <c r="D43" s="11">
        <v>3</v>
      </c>
      <c r="E43" s="11">
        <f t="shared" si="0"/>
        <v>27</v>
      </c>
      <c r="F43" s="11">
        <f t="shared" si="1"/>
        <v>0</v>
      </c>
      <c r="G43" s="11">
        <f t="shared" si="2"/>
        <v>-1061910</v>
      </c>
    </row>
    <row r="44" spans="1:9" x14ac:dyDescent="0.25">
      <c r="A44" s="11" t="s">
        <v>929</v>
      </c>
      <c r="B44" s="3">
        <v>-35080</v>
      </c>
      <c r="C44" s="11" t="s">
        <v>61</v>
      </c>
      <c r="D44" s="11">
        <v>3</v>
      </c>
      <c r="E44" s="11">
        <f t="shared" si="0"/>
        <v>24</v>
      </c>
      <c r="F44" s="11">
        <f t="shared" si="1"/>
        <v>0</v>
      </c>
      <c r="G44" s="11">
        <f t="shared" si="2"/>
        <v>-841920</v>
      </c>
    </row>
    <row r="45" spans="1:9" x14ac:dyDescent="0.25">
      <c r="A45" s="11" t="s">
        <v>913</v>
      </c>
      <c r="B45" s="3">
        <v>-200000</v>
      </c>
      <c r="C45" s="11" t="s">
        <v>503</v>
      </c>
      <c r="D45" s="11">
        <v>1</v>
      </c>
      <c r="E45" s="11">
        <f t="shared" si="0"/>
        <v>21</v>
      </c>
      <c r="F45" s="11">
        <f t="shared" si="1"/>
        <v>0</v>
      </c>
      <c r="G45" s="11">
        <f t="shared" si="2"/>
        <v>-4200000</v>
      </c>
    </row>
    <row r="46" spans="1:9" x14ac:dyDescent="0.25">
      <c r="A46" s="11" t="s">
        <v>915</v>
      </c>
      <c r="B46" s="3">
        <v>-42370</v>
      </c>
      <c r="C46" s="11" t="s">
        <v>61</v>
      </c>
      <c r="D46" s="11">
        <v>1</v>
      </c>
      <c r="E46" s="11">
        <f>E47+D46</f>
        <v>20</v>
      </c>
      <c r="F46" s="11">
        <f t="shared" si="1"/>
        <v>0</v>
      </c>
      <c r="G46" s="11">
        <f t="shared" si="2"/>
        <v>-847400</v>
      </c>
    </row>
    <row r="47" spans="1:9" x14ac:dyDescent="0.25">
      <c r="A47" s="11" t="s">
        <v>930</v>
      </c>
      <c r="B47" s="3">
        <v>-42914</v>
      </c>
      <c r="C47" s="11" t="s">
        <v>61</v>
      </c>
      <c r="D47" s="11">
        <v>3</v>
      </c>
      <c r="E47" s="11">
        <f t="shared" ref="E47:E69" si="3">E48+D47</f>
        <v>19</v>
      </c>
      <c r="F47" s="11">
        <f t="shared" si="1"/>
        <v>0</v>
      </c>
      <c r="G47" s="11">
        <f t="shared" si="2"/>
        <v>-815366</v>
      </c>
    </row>
    <row r="48" spans="1:9" x14ac:dyDescent="0.25">
      <c r="A48" s="11" t="s">
        <v>931</v>
      </c>
      <c r="B48" s="3">
        <v>-83000</v>
      </c>
      <c r="C48" s="11" t="s">
        <v>932</v>
      </c>
      <c r="D48" s="11">
        <v>1</v>
      </c>
      <c r="E48" s="11">
        <f t="shared" si="3"/>
        <v>16</v>
      </c>
      <c r="F48" s="11">
        <f t="shared" si="1"/>
        <v>0</v>
      </c>
      <c r="G48" s="11">
        <f t="shared" si="2"/>
        <v>-1328000</v>
      </c>
      <c r="I48" t="s">
        <v>25</v>
      </c>
    </row>
    <row r="49" spans="1:7" x14ac:dyDescent="0.25">
      <c r="A49" s="11" t="s">
        <v>933</v>
      </c>
      <c r="B49" s="3">
        <v>-95000</v>
      </c>
      <c r="C49" s="11" t="s">
        <v>503</v>
      </c>
      <c r="D49" s="11">
        <v>2</v>
      </c>
      <c r="E49" s="11">
        <f t="shared" si="3"/>
        <v>15</v>
      </c>
      <c r="F49" s="11">
        <f t="shared" si="1"/>
        <v>0</v>
      </c>
      <c r="G49" s="11">
        <f t="shared" si="2"/>
        <v>-1425000</v>
      </c>
    </row>
    <row r="50" spans="1:7" x14ac:dyDescent="0.25">
      <c r="A50" s="11" t="s">
        <v>934</v>
      </c>
      <c r="B50" s="3">
        <v>-180000</v>
      </c>
      <c r="C50" s="11" t="s">
        <v>935</v>
      </c>
      <c r="D50" s="11">
        <v>0</v>
      </c>
      <c r="E50" s="11">
        <f t="shared" si="3"/>
        <v>13</v>
      </c>
      <c r="F50" s="11">
        <f t="shared" si="1"/>
        <v>0</v>
      </c>
      <c r="G50" s="11">
        <f t="shared" si="2"/>
        <v>-2340000</v>
      </c>
    </row>
    <row r="51" spans="1:7" x14ac:dyDescent="0.25">
      <c r="A51" s="11" t="s">
        <v>936</v>
      </c>
      <c r="B51" s="3">
        <v>-95000</v>
      </c>
      <c r="C51" s="11" t="s">
        <v>503</v>
      </c>
      <c r="D51" s="11">
        <v>2</v>
      </c>
      <c r="E51" s="11">
        <f t="shared" si="3"/>
        <v>13</v>
      </c>
      <c r="F51" s="11">
        <f t="shared" si="1"/>
        <v>0</v>
      </c>
      <c r="G51" s="11">
        <f t="shared" si="2"/>
        <v>-1235000</v>
      </c>
    </row>
    <row r="52" spans="1:7" x14ac:dyDescent="0.25">
      <c r="A52" s="11" t="s">
        <v>937</v>
      </c>
      <c r="B52" s="3">
        <v>-12780</v>
      </c>
      <c r="C52" s="11" t="s">
        <v>61</v>
      </c>
      <c r="D52" s="11">
        <v>1</v>
      </c>
      <c r="E52" s="11">
        <f t="shared" si="3"/>
        <v>11</v>
      </c>
      <c r="F52" s="11">
        <f t="shared" si="1"/>
        <v>0</v>
      </c>
      <c r="G52" s="11">
        <f t="shared" si="2"/>
        <v>-140580</v>
      </c>
    </row>
    <row r="53" spans="1:7" x14ac:dyDescent="0.25">
      <c r="A53" s="11" t="s">
        <v>947</v>
      </c>
      <c r="B53" s="3">
        <v>-22000</v>
      </c>
      <c r="C53" s="11" t="s">
        <v>948</v>
      </c>
      <c r="D53" s="11">
        <v>1</v>
      </c>
      <c r="E53" s="11">
        <f t="shared" si="3"/>
        <v>10</v>
      </c>
      <c r="F53" s="11">
        <f t="shared" si="1"/>
        <v>0</v>
      </c>
      <c r="G53" s="11">
        <f t="shared" si="2"/>
        <v>-220000</v>
      </c>
    </row>
    <row r="54" spans="1:7" x14ac:dyDescent="0.25">
      <c r="A54" s="11" t="s">
        <v>941</v>
      </c>
      <c r="B54" s="3">
        <v>999000</v>
      </c>
      <c r="C54" s="11" t="s">
        <v>945</v>
      </c>
      <c r="D54" s="11">
        <v>0</v>
      </c>
      <c r="E54" s="11">
        <f t="shared" si="3"/>
        <v>9</v>
      </c>
      <c r="F54" s="11">
        <f t="shared" si="1"/>
        <v>1</v>
      </c>
      <c r="G54" s="11">
        <f t="shared" si="2"/>
        <v>7992000</v>
      </c>
    </row>
    <row r="55" spans="1:7" x14ac:dyDescent="0.25">
      <c r="A55" s="11" t="s">
        <v>941</v>
      </c>
      <c r="B55" s="3">
        <v>106900</v>
      </c>
      <c r="C55" s="11" t="s">
        <v>946</v>
      </c>
      <c r="D55" s="11">
        <v>0</v>
      </c>
      <c r="E55" s="11">
        <f t="shared" si="3"/>
        <v>9</v>
      </c>
      <c r="F55" s="11">
        <f t="shared" si="1"/>
        <v>1</v>
      </c>
      <c r="G55" s="11">
        <f t="shared" si="2"/>
        <v>855200</v>
      </c>
    </row>
    <row r="56" spans="1:7" x14ac:dyDescent="0.25">
      <c r="A56" s="11" t="s">
        <v>941</v>
      </c>
      <c r="B56" s="3">
        <v>-163000</v>
      </c>
      <c r="C56" s="11" t="s">
        <v>464</v>
      </c>
      <c r="D56" s="11">
        <v>1</v>
      </c>
      <c r="E56" s="11">
        <f t="shared" si="3"/>
        <v>9</v>
      </c>
      <c r="F56" s="11">
        <f t="shared" si="1"/>
        <v>0</v>
      </c>
      <c r="G56" s="11">
        <f t="shared" si="2"/>
        <v>-1467000</v>
      </c>
    </row>
    <row r="57" spans="1:7" x14ac:dyDescent="0.25">
      <c r="A57" s="11" t="s">
        <v>952</v>
      </c>
      <c r="B57" s="3">
        <v>-18400</v>
      </c>
      <c r="C57" s="11" t="s">
        <v>892</v>
      </c>
      <c r="D57" s="11">
        <v>1</v>
      </c>
      <c r="E57" s="11">
        <f t="shared" si="3"/>
        <v>8</v>
      </c>
      <c r="F57" s="11">
        <f t="shared" si="1"/>
        <v>0</v>
      </c>
      <c r="G57" s="11">
        <f t="shared" si="2"/>
        <v>-147200</v>
      </c>
    </row>
    <row r="58" spans="1:7" x14ac:dyDescent="0.25">
      <c r="A58" s="11" t="s">
        <v>961</v>
      </c>
      <c r="B58" s="3">
        <v>-457777</v>
      </c>
      <c r="C58" s="11" t="s">
        <v>954</v>
      </c>
      <c r="D58" s="11">
        <v>1</v>
      </c>
      <c r="E58" s="11">
        <f t="shared" si="3"/>
        <v>7</v>
      </c>
      <c r="F58" s="11">
        <f t="shared" si="1"/>
        <v>0</v>
      </c>
      <c r="G58" s="11">
        <f t="shared" si="2"/>
        <v>-3204439</v>
      </c>
    </row>
    <row r="59" spans="1:7" x14ac:dyDescent="0.25">
      <c r="A59" s="11" t="s">
        <v>1081</v>
      </c>
      <c r="B59" s="3">
        <v>-200000</v>
      </c>
      <c r="C59" s="11" t="s">
        <v>503</v>
      </c>
      <c r="D59" s="11">
        <v>3</v>
      </c>
      <c r="E59" s="11">
        <f t="shared" si="3"/>
        <v>6</v>
      </c>
      <c r="F59" s="11">
        <f t="shared" si="1"/>
        <v>0</v>
      </c>
      <c r="G59" s="11">
        <f t="shared" si="2"/>
        <v>-1200000</v>
      </c>
    </row>
    <row r="60" spans="1:7" x14ac:dyDescent="0.25">
      <c r="A60" s="11" t="s">
        <v>1058</v>
      </c>
      <c r="B60" s="3">
        <v>-23809</v>
      </c>
      <c r="C60" s="11" t="s">
        <v>61</v>
      </c>
      <c r="D60" s="11">
        <v>2</v>
      </c>
      <c r="E60" s="11">
        <f t="shared" si="3"/>
        <v>3</v>
      </c>
      <c r="F60" s="11">
        <f t="shared" si="1"/>
        <v>0</v>
      </c>
      <c r="G60" s="11">
        <f t="shared" si="2"/>
        <v>-71427</v>
      </c>
    </row>
    <row r="61" spans="1:7" x14ac:dyDescent="0.25">
      <c r="A61" s="11" t="s">
        <v>1077</v>
      </c>
      <c r="B61" s="3">
        <v>4172</v>
      </c>
      <c r="C61" s="11" t="s">
        <v>1079</v>
      </c>
      <c r="D61" s="11">
        <v>1</v>
      </c>
      <c r="E61" s="11">
        <f t="shared" si="3"/>
        <v>1</v>
      </c>
      <c r="F61" s="11">
        <f t="shared" si="1"/>
        <v>1</v>
      </c>
      <c r="G61" s="11">
        <f t="shared" si="2"/>
        <v>0</v>
      </c>
    </row>
    <row r="62" spans="1:7" x14ac:dyDescent="0.25">
      <c r="A62" s="11" t="s">
        <v>1083</v>
      </c>
      <c r="B62" s="3">
        <v>-161000</v>
      </c>
      <c r="C62" s="11" t="s">
        <v>1091</v>
      </c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 t="s">
        <v>1097</v>
      </c>
      <c r="B63" s="3">
        <v>-149505</v>
      </c>
      <c r="C63" s="11" t="s">
        <v>1098</v>
      </c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/>
      <c r="B64" s="3"/>
      <c r="C64" s="11"/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104951</v>
      </c>
      <c r="C70" s="11"/>
      <c r="D70" s="11"/>
      <c r="E70" s="11"/>
      <c r="F70" s="11"/>
      <c r="G70" s="29">
        <f>SUM(G2:G30)</f>
        <v>129586454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315295.50851581508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71" activePane="bottomLeft" state="frozen"/>
      <selection pane="bottomLeft" activeCell="G193" sqref="G19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 t="shared" ref="D2:D65" si="0">D3+C2</f>
        <v>662</v>
      </c>
      <c r="E2" s="11">
        <f>IF(B2&gt;0,1,0)</f>
        <v>1</v>
      </c>
      <c r="F2" s="11">
        <f>B2*(D2-E2)</f>
        <v>63918700</v>
      </c>
      <c r="G2" s="11" t="s">
        <v>1</v>
      </c>
    </row>
    <row r="3" spans="1:7" x14ac:dyDescent="0.25">
      <c r="A3" s="11" t="s">
        <v>395</v>
      </c>
      <c r="B3" s="3">
        <v>3000000</v>
      </c>
      <c r="C3" s="11">
        <v>3</v>
      </c>
      <c r="D3" s="11">
        <f t="shared" si="0"/>
        <v>660</v>
      </c>
      <c r="E3" s="11">
        <f t="shared" ref="E3:E66" si="1">IF(B3&gt;0,1,0)</f>
        <v>1</v>
      </c>
      <c r="F3" s="11">
        <f t="shared" ref="F3:F66" si="2">B3*(D3-E3)</f>
        <v>1977000000</v>
      </c>
      <c r="G3" s="11"/>
    </row>
    <row r="4" spans="1:7" x14ac:dyDescent="0.25">
      <c r="A4" s="11" t="s">
        <v>394</v>
      </c>
      <c r="B4" s="3">
        <v>-200000</v>
      </c>
      <c r="C4" s="11">
        <v>2</v>
      </c>
      <c r="D4" s="11">
        <f t="shared" si="0"/>
        <v>657</v>
      </c>
      <c r="E4" s="11">
        <f t="shared" si="1"/>
        <v>0</v>
      </c>
      <c r="F4" s="11">
        <f t="shared" si="2"/>
        <v>-131400000</v>
      </c>
      <c r="G4" s="11"/>
    </row>
    <row r="5" spans="1:7" x14ac:dyDescent="0.25">
      <c r="A5" s="11" t="s">
        <v>393</v>
      </c>
      <c r="B5" s="3">
        <v>-100000</v>
      </c>
      <c r="C5" s="11">
        <v>1</v>
      </c>
      <c r="D5" s="11">
        <f t="shared" si="0"/>
        <v>655</v>
      </c>
      <c r="E5" s="11">
        <f t="shared" si="1"/>
        <v>0</v>
      </c>
      <c r="F5" s="11">
        <f t="shared" si="2"/>
        <v>-65500000</v>
      </c>
      <c r="G5" s="11"/>
    </row>
    <row r="6" spans="1:7" x14ac:dyDescent="0.25">
      <c r="A6" s="11" t="s">
        <v>392</v>
      </c>
      <c r="B6" s="3">
        <v>-55000</v>
      </c>
      <c r="C6" s="11">
        <v>1</v>
      </c>
      <c r="D6" s="11">
        <f t="shared" si="0"/>
        <v>654</v>
      </c>
      <c r="E6" s="11">
        <f t="shared" si="1"/>
        <v>0</v>
      </c>
      <c r="F6" s="11">
        <f t="shared" si="2"/>
        <v>-35970000</v>
      </c>
      <c r="G6" s="11"/>
    </row>
    <row r="7" spans="1:7" x14ac:dyDescent="0.25">
      <c r="A7" s="11" t="s">
        <v>391</v>
      </c>
      <c r="B7" s="3">
        <v>-200000</v>
      </c>
      <c r="C7" s="11">
        <v>4</v>
      </c>
      <c r="D7" s="11">
        <f t="shared" si="0"/>
        <v>653</v>
      </c>
      <c r="E7" s="11">
        <f t="shared" si="1"/>
        <v>0</v>
      </c>
      <c r="F7" s="11">
        <f t="shared" si="2"/>
        <v>-130600000</v>
      </c>
      <c r="G7" s="11"/>
    </row>
    <row r="8" spans="1:7" x14ac:dyDescent="0.25">
      <c r="A8" s="11" t="s">
        <v>390</v>
      </c>
      <c r="B8" s="3">
        <v>-200000</v>
      </c>
      <c r="C8" s="11">
        <v>10</v>
      </c>
      <c r="D8" s="11">
        <f t="shared" si="0"/>
        <v>649</v>
      </c>
      <c r="E8" s="11">
        <f t="shared" si="1"/>
        <v>0</v>
      </c>
      <c r="F8" s="11">
        <f t="shared" si="2"/>
        <v>-129800000</v>
      </c>
      <c r="G8" s="11"/>
    </row>
    <row r="9" spans="1:7" x14ac:dyDescent="0.25">
      <c r="A9" s="11" t="s">
        <v>389</v>
      </c>
      <c r="B9" s="3">
        <v>-950500</v>
      </c>
      <c r="C9" s="11">
        <v>1</v>
      </c>
      <c r="D9" s="11">
        <f t="shared" si="0"/>
        <v>639</v>
      </c>
      <c r="E9" s="11">
        <f t="shared" si="1"/>
        <v>0</v>
      </c>
      <c r="F9" s="11">
        <f t="shared" si="2"/>
        <v>-607369500</v>
      </c>
      <c r="G9" s="11"/>
    </row>
    <row r="10" spans="1:7" x14ac:dyDescent="0.25">
      <c r="A10" s="23" t="s">
        <v>388</v>
      </c>
      <c r="B10" s="3">
        <v>2000000</v>
      </c>
      <c r="C10" s="11">
        <v>2</v>
      </c>
      <c r="D10" s="11">
        <f t="shared" si="0"/>
        <v>638</v>
      </c>
      <c r="E10" s="11">
        <f t="shared" si="1"/>
        <v>1</v>
      </c>
      <c r="F10" s="11">
        <f t="shared" si="2"/>
        <v>1274000000</v>
      </c>
      <c r="G10" s="11"/>
    </row>
    <row r="11" spans="1:7" x14ac:dyDescent="0.25">
      <c r="A11" s="11" t="s">
        <v>387</v>
      </c>
      <c r="B11" s="3">
        <v>-1065000</v>
      </c>
      <c r="C11" s="11">
        <v>3</v>
      </c>
      <c r="D11" s="11">
        <f t="shared" si="0"/>
        <v>636</v>
      </c>
      <c r="E11" s="11">
        <f t="shared" si="1"/>
        <v>0</v>
      </c>
      <c r="F11" s="11">
        <f t="shared" si="2"/>
        <v>-677340000</v>
      </c>
      <c r="G11" s="11"/>
    </row>
    <row r="12" spans="1:7" x14ac:dyDescent="0.25">
      <c r="A12" s="11" t="s">
        <v>386</v>
      </c>
      <c r="B12" s="3">
        <v>-45000</v>
      </c>
      <c r="C12" s="11">
        <v>1</v>
      </c>
      <c r="D12" s="11">
        <f t="shared" si="0"/>
        <v>633</v>
      </c>
      <c r="E12" s="11">
        <f t="shared" si="1"/>
        <v>0</v>
      </c>
      <c r="F12" s="11">
        <f t="shared" si="2"/>
        <v>-28485000</v>
      </c>
      <c r="G12" s="11"/>
    </row>
    <row r="13" spans="1:7" x14ac:dyDescent="0.25">
      <c r="A13" s="11" t="s">
        <v>385</v>
      </c>
      <c r="B13" s="3">
        <v>-2000700</v>
      </c>
      <c r="C13" s="11">
        <v>4</v>
      </c>
      <c r="D13" s="11">
        <f t="shared" si="0"/>
        <v>632</v>
      </c>
      <c r="E13" s="11">
        <f t="shared" si="1"/>
        <v>0</v>
      </c>
      <c r="F13" s="11">
        <f t="shared" si="2"/>
        <v>-1264442400</v>
      </c>
      <c r="G13" s="11"/>
    </row>
    <row r="14" spans="1:7" x14ac:dyDescent="0.25">
      <c r="A14" s="23" t="s">
        <v>384</v>
      </c>
      <c r="B14" s="3">
        <v>-200000</v>
      </c>
      <c r="C14" s="11">
        <v>2</v>
      </c>
      <c r="D14" s="11">
        <f t="shared" si="0"/>
        <v>628</v>
      </c>
      <c r="E14" s="11">
        <f t="shared" si="1"/>
        <v>0</v>
      </c>
      <c r="F14" s="11">
        <f t="shared" si="2"/>
        <v>-125600000</v>
      </c>
      <c r="G14" s="11"/>
    </row>
    <row r="15" spans="1:7" x14ac:dyDescent="0.25">
      <c r="A15" s="11" t="s">
        <v>383</v>
      </c>
      <c r="B15" s="3">
        <v>2000000</v>
      </c>
      <c r="C15" s="11">
        <v>0</v>
      </c>
      <c r="D15" s="11">
        <f t="shared" si="0"/>
        <v>626</v>
      </c>
      <c r="E15" s="11">
        <f t="shared" si="1"/>
        <v>1</v>
      </c>
      <c r="F15" s="11">
        <f t="shared" si="2"/>
        <v>1250000000</v>
      </c>
      <c r="G15" s="11"/>
    </row>
    <row r="16" spans="1:7" x14ac:dyDescent="0.25">
      <c r="A16" s="11" t="s">
        <v>383</v>
      </c>
      <c r="B16" s="3">
        <v>2000000</v>
      </c>
      <c r="C16" s="11">
        <v>0</v>
      </c>
      <c r="D16" s="11">
        <f t="shared" si="0"/>
        <v>626</v>
      </c>
      <c r="E16" s="11">
        <f t="shared" si="1"/>
        <v>1</v>
      </c>
      <c r="F16" s="11">
        <f t="shared" si="2"/>
        <v>1250000000</v>
      </c>
      <c r="G16" s="11"/>
    </row>
    <row r="17" spans="1:12" x14ac:dyDescent="0.25">
      <c r="A17" s="11" t="s">
        <v>383</v>
      </c>
      <c r="B17" s="3">
        <v>1200000</v>
      </c>
      <c r="C17" s="11">
        <v>0</v>
      </c>
      <c r="D17" s="11">
        <f t="shared" si="0"/>
        <v>626</v>
      </c>
      <c r="E17" s="11">
        <f t="shared" si="1"/>
        <v>1</v>
      </c>
      <c r="F17" s="11">
        <f t="shared" si="2"/>
        <v>750000000</v>
      </c>
      <c r="G17" s="11"/>
    </row>
    <row r="18" spans="1:12" x14ac:dyDescent="0.25">
      <c r="A18" s="11" t="s">
        <v>383</v>
      </c>
      <c r="B18" s="3">
        <v>1000000</v>
      </c>
      <c r="C18" s="11">
        <v>1</v>
      </c>
      <c r="D18" s="11">
        <f t="shared" si="0"/>
        <v>626</v>
      </c>
      <c r="E18" s="11">
        <f t="shared" si="1"/>
        <v>1</v>
      </c>
      <c r="F18" s="11">
        <f t="shared" si="2"/>
        <v>625000000</v>
      </c>
      <c r="G18" s="11"/>
    </row>
    <row r="19" spans="1:12" x14ac:dyDescent="0.25">
      <c r="A19" s="11" t="s">
        <v>382</v>
      </c>
      <c r="B19" s="3">
        <v>3000000</v>
      </c>
      <c r="C19" s="11">
        <v>0</v>
      </c>
      <c r="D19" s="11">
        <f t="shared" si="0"/>
        <v>625</v>
      </c>
      <c r="E19" s="11">
        <f t="shared" si="1"/>
        <v>1</v>
      </c>
      <c r="F19" s="11">
        <f t="shared" si="2"/>
        <v>1872000000</v>
      </c>
      <c r="G19" s="11"/>
      <c r="L19" t="s">
        <v>25</v>
      </c>
    </row>
    <row r="20" spans="1:12" x14ac:dyDescent="0.25">
      <c r="A20" s="11" t="s">
        <v>382</v>
      </c>
      <c r="B20" s="3">
        <v>-432700</v>
      </c>
      <c r="C20" s="11">
        <v>0</v>
      </c>
      <c r="D20" s="11">
        <f t="shared" si="0"/>
        <v>625</v>
      </c>
      <c r="E20" s="11">
        <f t="shared" si="1"/>
        <v>0</v>
      </c>
      <c r="F20" s="11">
        <f t="shared" si="2"/>
        <v>-270437500</v>
      </c>
      <c r="G20" s="11"/>
    </row>
    <row r="21" spans="1:12" x14ac:dyDescent="0.25">
      <c r="A21" s="11" t="s">
        <v>382</v>
      </c>
      <c r="B21" s="3">
        <v>-432700</v>
      </c>
      <c r="C21" s="11">
        <v>0</v>
      </c>
      <c r="D21" s="11">
        <f t="shared" si="0"/>
        <v>625</v>
      </c>
      <c r="E21" s="11">
        <f t="shared" si="1"/>
        <v>0</v>
      </c>
      <c r="F21" s="11">
        <f t="shared" si="2"/>
        <v>-270437500</v>
      </c>
      <c r="G21" s="11"/>
    </row>
    <row r="22" spans="1:12" x14ac:dyDescent="0.25">
      <c r="A22" s="11" t="s">
        <v>382</v>
      </c>
      <c r="B22" s="3">
        <v>-432700</v>
      </c>
      <c r="C22" s="11">
        <v>0</v>
      </c>
      <c r="D22" s="11">
        <f t="shared" si="0"/>
        <v>625</v>
      </c>
      <c r="E22" s="11">
        <f t="shared" si="1"/>
        <v>0</v>
      </c>
      <c r="F22" s="11">
        <f t="shared" si="2"/>
        <v>-270437500</v>
      </c>
      <c r="G22" s="11"/>
    </row>
    <row r="23" spans="1:12" x14ac:dyDescent="0.25">
      <c r="A23" s="11" t="s">
        <v>382</v>
      </c>
      <c r="B23" s="3">
        <v>-432700</v>
      </c>
      <c r="C23" s="11">
        <v>0</v>
      </c>
      <c r="D23" s="11">
        <f t="shared" si="0"/>
        <v>625</v>
      </c>
      <c r="E23" s="11">
        <f t="shared" si="1"/>
        <v>0</v>
      </c>
      <c r="F23" s="11">
        <f t="shared" si="2"/>
        <v>-270437500</v>
      </c>
      <c r="G23" s="11"/>
    </row>
    <row r="24" spans="1:12" x14ac:dyDescent="0.25">
      <c r="A24" s="11" t="s">
        <v>382</v>
      </c>
      <c r="B24" s="3">
        <v>-432700</v>
      </c>
      <c r="C24" s="11">
        <v>0</v>
      </c>
      <c r="D24" s="11">
        <f t="shared" si="0"/>
        <v>625</v>
      </c>
      <c r="E24" s="11">
        <f t="shared" si="1"/>
        <v>0</v>
      </c>
      <c r="F24" s="11">
        <f t="shared" si="2"/>
        <v>-270437500</v>
      </c>
      <c r="G24" s="11"/>
    </row>
    <row r="25" spans="1:12" x14ac:dyDescent="0.25">
      <c r="A25" s="11" t="s">
        <v>382</v>
      </c>
      <c r="B25" s="3">
        <v>-200000</v>
      </c>
      <c r="C25" s="11">
        <v>1</v>
      </c>
      <c r="D25" s="11">
        <f t="shared" si="0"/>
        <v>625</v>
      </c>
      <c r="E25" s="11">
        <f t="shared" si="1"/>
        <v>0</v>
      </c>
      <c r="F25" s="11">
        <f t="shared" si="2"/>
        <v>-125000000</v>
      </c>
      <c r="G25" s="11"/>
    </row>
    <row r="26" spans="1:12" x14ac:dyDescent="0.25">
      <c r="A26" s="11" t="s">
        <v>381</v>
      </c>
      <c r="B26" s="3">
        <v>3000000</v>
      </c>
      <c r="C26" s="11">
        <v>2</v>
      </c>
      <c r="D26" s="11">
        <f t="shared" si="0"/>
        <v>624</v>
      </c>
      <c r="E26" s="11">
        <f t="shared" si="1"/>
        <v>1</v>
      </c>
      <c r="F26" s="11">
        <f t="shared" si="2"/>
        <v>1869000000</v>
      </c>
      <c r="G26" s="11"/>
    </row>
    <row r="27" spans="1:12" x14ac:dyDescent="0.25">
      <c r="A27" s="11" t="s">
        <v>380</v>
      </c>
      <c r="B27" s="3">
        <v>-200000</v>
      </c>
      <c r="C27" s="11">
        <v>1</v>
      </c>
      <c r="D27" s="11">
        <f t="shared" si="0"/>
        <v>622</v>
      </c>
      <c r="E27" s="11">
        <f t="shared" si="1"/>
        <v>0</v>
      </c>
      <c r="F27" s="11">
        <f t="shared" si="2"/>
        <v>-124400000</v>
      </c>
      <c r="G27" s="11"/>
    </row>
    <row r="28" spans="1:12" x14ac:dyDescent="0.25">
      <c r="A28" s="11" t="s">
        <v>379</v>
      </c>
      <c r="B28" s="3">
        <v>2000000</v>
      </c>
      <c r="C28" s="11">
        <v>1</v>
      </c>
      <c r="D28" s="11">
        <f t="shared" si="0"/>
        <v>621</v>
      </c>
      <c r="E28" s="11">
        <f t="shared" si="1"/>
        <v>1</v>
      </c>
      <c r="F28" s="11">
        <f t="shared" si="2"/>
        <v>1240000000</v>
      </c>
      <c r="G28" s="11"/>
    </row>
    <row r="29" spans="1:12" x14ac:dyDescent="0.25">
      <c r="A29" s="11" t="s">
        <v>378</v>
      </c>
      <c r="B29" s="3">
        <v>-7000800</v>
      </c>
      <c r="C29" s="11">
        <v>1</v>
      </c>
      <c r="D29" s="11">
        <f t="shared" si="0"/>
        <v>620</v>
      </c>
      <c r="E29" s="11">
        <f t="shared" si="1"/>
        <v>0</v>
      </c>
      <c r="F29" s="11">
        <f t="shared" si="2"/>
        <v>-4340496000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619</v>
      </c>
      <c r="E30" s="11">
        <f t="shared" si="1"/>
        <v>0</v>
      </c>
      <c r="F30" s="11">
        <f t="shared" si="2"/>
        <v>-1857557100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618</v>
      </c>
      <c r="E31" s="11">
        <f t="shared" si="1"/>
        <v>0</v>
      </c>
      <c r="F31" s="11">
        <f t="shared" si="2"/>
        <v>-1048066200</v>
      </c>
      <c r="G31" s="11"/>
    </row>
    <row r="32" spans="1:12" x14ac:dyDescent="0.25">
      <c r="A32" s="11" t="s">
        <v>377</v>
      </c>
      <c r="B32" s="3">
        <v>994300</v>
      </c>
      <c r="C32" s="11">
        <v>6</v>
      </c>
      <c r="D32" s="11">
        <f t="shared" si="0"/>
        <v>615</v>
      </c>
      <c r="E32" s="11">
        <f t="shared" si="1"/>
        <v>1</v>
      </c>
      <c r="F32" s="11">
        <f t="shared" si="2"/>
        <v>610500200</v>
      </c>
      <c r="G32" s="11"/>
    </row>
    <row r="33" spans="1:7" x14ac:dyDescent="0.25">
      <c r="A33" s="11" t="s">
        <v>375</v>
      </c>
      <c r="B33" s="3">
        <v>35091</v>
      </c>
      <c r="C33" s="11">
        <v>1</v>
      </c>
      <c r="D33" s="11">
        <f t="shared" si="0"/>
        <v>609</v>
      </c>
      <c r="E33" s="11">
        <f t="shared" si="1"/>
        <v>1</v>
      </c>
      <c r="F33" s="11">
        <f t="shared" si="2"/>
        <v>21335328</v>
      </c>
      <c r="G33" s="11" t="s">
        <v>376</v>
      </c>
    </row>
    <row r="34" spans="1:7" x14ac:dyDescent="0.25">
      <c r="A34" s="11" t="s">
        <v>374</v>
      </c>
      <c r="B34" s="3">
        <v>-850000</v>
      </c>
      <c r="C34" s="11">
        <v>8</v>
      </c>
      <c r="D34" s="11">
        <f t="shared" si="0"/>
        <v>608</v>
      </c>
      <c r="E34" s="11">
        <f t="shared" si="1"/>
        <v>0</v>
      </c>
      <c r="F34" s="11">
        <f t="shared" si="2"/>
        <v>-516800000</v>
      </c>
      <c r="G34" s="11"/>
    </row>
    <row r="35" spans="1:7" x14ac:dyDescent="0.25">
      <c r="A35" s="23" t="s">
        <v>373</v>
      </c>
      <c r="B35" s="3">
        <v>-190500</v>
      </c>
      <c r="C35" s="11">
        <v>1</v>
      </c>
      <c r="D35" s="11">
        <f t="shared" si="0"/>
        <v>600</v>
      </c>
      <c r="E35" s="11">
        <f t="shared" si="1"/>
        <v>0</v>
      </c>
      <c r="F35" s="11">
        <f t="shared" si="2"/>
        <v>-114300000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599</v>
      </c>
      <c r="E36" s="11">
        <f t="shared" si="1"/>
        <v>1</v>
      </c>
      <c r="F36" s="11">
        <f t="shared" si="2"/>
        <v>119600000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599</v>
      </c>
      <c r="E37" s="11">
        <f t="shared" si="1"/>
        <v>0</v>
      </c>
      <c r="F37" s="11">
        <f t="shared" si="2"/>
        <v>-119800000</v>
      </c>
      <c r="G37" s="11"/>
    </row>
    <row r="38" spans="1:7" x14ac:dyDescent="0.25">
      <c r="A38" s="23" t="s">
        <v>372</v>
      </c>
      <c r="B38" s="3">
        <v>300806</v>
      </c>
      <c r="C38" s="11">
        <v>1</v>
      </c>
      <c r="D38" s="11">
        <f t="shared" si="0"/>
        <v>577</v>
      </c>
      <c r="E38" s="11">
        <f t="shared" si="1"/>
        <v>1</v>
      </c>
      <c r="F38" s="11">
        <f t="shared" si="2"/>
        <v>173264256</v>
      </c>
      <c r="G38" s="11" t="s">
        <v>396</v>
      </c>
    </row>
    <row r="39" spans="1:7" x14ac:dyDescent="0.25">
      <c r="A39" s="11" t="s">
        <v>371</v>
      </c>
      <c r="B39" s="3">
        <v>-95000</v>
      </c>
      <c r="C39" s="11">
        <v>0</v>
      </c>
      <c r="D39" s="11">
        <f t="shared" si="0"/>
        <v>576</v>
      </c>
      <c r="E39" s="11">
        <f t="shared" si="1"/>
        <v>0</v>
      </c>
      <c r="F39" s="11">
        <f t="shared" si="2"/>
        <v>-54720000</v>
      </c>
      <c r="G39" s="11"/>
    </row>
    <row r="40" spans="1:7" x14ac:dyDescent="0.25">
      <c r="A40" s="11" t="s">
        <v>371</v>
      </c>
      <c r="B40" s="3">
        <v>-88103</v>
      </c>
      <c r="C40" s="11">
        <v>5</v>
      </c>
      <c r="D40" s="11">
        <f t="shared" si="0"/>
        <v>576</v>
      </c>
      <c r="E40" s="11">
        <f t="shared" si="1"/>
        <v>0</v>
      </c>
      <c r="F40" s="11">
        <f t="shared" si="2"/>
        <v>-50747328</v>
      </c>
      <c r="G40" s="11"/>
    </row>
    <row r="41" spans="1:7" x14ac:dyDescent="0.25">
      <c r="A41" s="11" t="s">
        <v>370</v>
      </c>
      <c r="B41" s="3">
        <v>-120000</v>
      </c>
      <c r="C41" s="11">
        <v>22</v>
      </c>
      <c r="D41" s="11">
        <f t="shared" si="0"/>
        <v>571</v>
      </c>
      <c r="E41" s="11">
        <f t="shared" si="1"/>
        <v>0</v>
      </c>
      <c r="F41" s="11">
        <f t="shared" si="2"/>
        <v>-68520000</v>
      </c>
      <c r="G41" s="11"/>
    </row>
    <row r="42" spans="1:7" x14ac:dyDescent="0.25">
      <c r="A42" s="11" t="s">
        <v>369</v>
      </c>
      <c r="B42" s="3">
        <v>1000204</v>
      </c>
      <c r="C42" s="11">
        <v>4</v>
      </c>
      <c r="D42" s="11">
        <f t="shared" si="0"/>
        <v>549</v>
      </c>
      <c r="E42" s="11">
        <f t="shared" si="1"/>
        <v>1</v>
      </c>
      <c r="F42" s="11">
        <f t="shared" si="2"/>
        <v>548111792</v>
      </c>
      <c r="G42" s="11" t="s">
        <v>397</v>
      </c>
    </row>
    <row r="43" spans="1:7" x14ac:dyDescent="0.25">
      <c r="A43" s="11" t="s">
        <v>368</v>
      </c>
      <c r="B43" s="3">
        <v>-80000</v>
      </c>
      <c r="C43" s="11">
        <v>4</v>
      </c>
      <c r="D43" s="11">
        <f t="shared" si="0"/>
        <v>545</v>
      </c>
      <c r="E43" s="11">
        <f t="shared" si="1"/>
        <v>0</v>
      </c>
      <c r="F43" s="11">
        <f t="shared" si="2"/>
        <v>-43600000</v>
      </c>
      <c r="G43" s="11"/>
    </row>
    <row r="44" spans="1:7" x14ac:dyDescent="0.25">
      <c r="A44" s="11" t="s">
        <v>367</v>
      </c>
      <c r="B44" s="3">
        <v>-211029</v>
      </c>
      <c r="C44" s="11">
        <v>1</v>
      </c>
      <c r="D44" s="11">
        <f t="shared" si="0"/>
        <v>541</v>
      </c>
      <c r="E44" s="11">
        <f t="shared" si="1"/>
        <v>0</v>
      </c>
      <c r="F44" s="11">
        <f t="shared" si="2"/>
        <v>-114166689</v>
      </c>
      <c r="G44" s="11"/>
    </row>
    <row r="45" spans="1:7" x14ac:dyDescent="0.25">
      <c r="A45" s="11" t="s">
        <v>366</v>
      </c>
      <c r="B45" s="3">
        <v>-200000</v>
      </c>
      <c r="C45" s="11">
        <v>1</v>
      </c>
      <c r="D45" s="11">
        <f t="shared" si="0"/>
        <v>540</v>
      </c>
      <c r="E45" s="11">
        <f t="shared" si="1"/>
        <v>0</v>
      </c>
      <c r="F45" s="11">
        <f t="shared" si="2"/>
        <v>-108000000</v>
      </c>
      <c r="G45" s="11"/>
    </row>
    <row r="46" spans="1:7" x14ac:dyDescent="0.25">
      <c r="A46" s="11" t="s">
        <v>365</v>
      </c>
      <c r="B46" s="3">
        <v>-95000</v>
      </c>
      <c r="C46" s="11">
        <v>2</v>
      </c>
      <c r="D46" s="11">
        <f t="shared" si="0"/>
        <v>539</v>
      </c>
      <c r="E46" s="11">
        <f t="shared" si="1"/>
        <v>0</v>
      </c>
      <c r="F46" s="11">
        <f t="shared" si="2"/>
        <v>-51205000</v>
      </c>
      <c r="G46" s="11"/>
    </row>
    <row r="47" spans="1:7" x14ac:dyDescent="0.25">
      <c r="A47" s="11" t="s">
        <v>364</v>
      </c>
      <c r="B47" s="3">
        <v>-45000</v>
      </c>
      <c r="C47" s="11">
        <v>0</v>
      </c>
      <c r="D47" s="11">
        <f t="shared" si="0"/>
        <v>537</v>
      </c>
      <c r="E47" s="11">
        <f t="shared" si="1"/>
        <v>0</v>
      </c>
      <c r="F47" s="11">
        <f t="shared" si="2"/>
        <v>-24165000</v>
      </c>
      <c r="G47" s="11"/>
    </row>
    <row r="48" spans="1:7" x14ac:dyDescent="0.25">
      <c r="A48" s="11" t="s">
        <v>364</v>
      </c>
      <c r="B48" s="3">
        <v>-64180</v>
      </c>
      <c r="C48" s="11">
        <v>3</v>
      </c>
      <c r="D48" s="11">
        <f t="shared" si="0"/>
        <v>537</v>
      </c>
      <c r="E48" s="11">
        <f t="shared" si="1"/>
        <v>0</v>
      </c>
      <c r="F48" s="11">
        <f t="shared" si="2"/>
        <v>-34464660</v>
      </c>
      <c r="G48" s="11"/>
    </row>
    <row r="49" spans="1:7" x14ac:dyDescent="0.25">
      <c r="A49" s="11" t="s">
        <v>363</v>
      </c>
      <c r="B49" s="3">
        <v>-27484</v>
      </c>
      <c r="C49" s="11">
        <v>1</v>
      </c>
      <c r="D49" s="11">
        <f t="shared" si="0"/>
        <v>534</v>
      </c>
      <c r="E49" s="11">
        <f t="shared" si="1"/>
        <v>0</v>
      </c>
      <c r="F49" s="11">
        <f t="shared" si="2"/>
        <v>-14676456</v>
      </c>
      <c r="G49" s="11"/>
    </row>
    <row r="50" spans="1:7" x14ac:dyDescent="0.25">
      <c r="A50" s="11" t="s">
        <v>362</v>
      </c>
      <c r="B50" s="3">
        <v>-141000</v>
      </c>
      <c r="C50" s="11">
        <v>0</v>
      </c>
      <c r="D50" s="11">
        <f t="shared" si="0"/>
        <v>533</v>
      </c>
      <c r="E50" s="11">
        <f t="shared" si="1"/>
        <v>0</v>
      </c>
      <c r="F50" s="11">
        <f t="shared" si="2"/>
        <v>-75153000</v>
      </c>
      <c r="G50" s="11"/>
    </row>
    <row r="51" spans="1:7" x14ac:dyDescent="0.25">
      <c r="A51" s="11" t="s">
        <v>362</v>
      </c>
      <c r="B51" s="3">
        <v>-26746</v>
      </c>
      <c r="C51" s="11">
        <v>1</v>
      </c>
      <c r="D51" s="11">
        <f t="shared" si="0"/>
        <v>533</v>
      </c>
      <c r="E51" s="11">
        <f t="shared" si="1"/>
        <v>0</v>
      </c>
      <c r="F51" s="11">
        <f t="shared" si="2"/>
        <v>-14255618</v>
      </c>
      <c r="G51" s="11"/>
    </row>
    <row r="52" spans="1:7" x14ac:dyDescent="0.25">
      <c r="A52" s="11" t="s">
        <v>361</v>
      </c>
      <c r="B52" s="3">
        <v>-53300</v>
      </c>
      <c r="C52" s="11">
        <v>1</v>
      </c>
      <c r="D52" s="11">
        <f t="shared" si="0"/>
        <v>532</v>
      </c>
      <c r="E52" s="11">
        <f t="shared" si="1"/>
        <v>0</v>
      </c>
      <c r="F52" s="11">
        <f t="shared" si="2"/>
        <v>-28355600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531</v>
      </c>
      <c r="E53" s="11">
        <f t="shared" si="1"/>
        <v>1</v>
      </c>
      <c r="F53" s="11">
        <f t="shared" si="2"/>
        <v>530000000</v>
      </c>
      <c r="G53" s="11"/>
    </row>
    <row r="54" spans="1:7" x14ac:dyDescent="0.25">
      <c r="A54" s="11" t="s">
        <v>360</v>
      </c>
      <c r="B54" s="3">
        <v>-21000</v>
      </c>
      <c r="C54" s="11">
        <v>1</v>
      </c>
      <c r="D54" s="11">
        <f t="shared" si="0"/>
        <v>525</v>
      </c>
      <c r="E54" s="11">
        <f t="shared" si="1"/>
        <v>0</v>
      </c>
      <c r="F54" s="11">
        <f t="shared" si="2"/>
        <v>-11025000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524</v>
      </c>
      <c r="E55" s="11">
        <f t="shared" si="1"/>
        <v>0</v>
      </c>
      <c r="F55" s="11">
        <f t="shared" si="2"/>
        <v>-513782000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524</v>
      </c>
      <c r="E56" s="11">
        <f t="shared" si="1"/>
        <v>0</v>
      </c>
      <c r="F56" s="11">
        <f t="shared" si="2"/>
        <v>-23580000</v>
      </c>
      <c r="G56" s="11"/>
    </row>
    <row r="57" spans="1:7" x14ac:dyDescent="0.25">
      <c r="A57" s="11" t="s">
        <v>359</v>
      </c>
      <c r="B57" s="3">
        <v>3005189</v>
      </c>
      <c r="C57" s="11">
        <v>0</v>
      </c>
      <c r="D57" s="11">
        <f t="shared" si="0"/>
        <v>511</v>
      </c>
      <c r="E57" s="11">
        <f t="shared" si="1"/>
        <v>1</v>
      </c>
      <c r="F57" s="11">
        <f t="shared" si="2"/>
        <v>1532646390</v>
      </c>
      <c r="G57" s="11" t="s">
        <v>398</v>
      </c>
    </row>
    <row r="58" spans="1:7" x14ac:dyDescent="0.25">
      <c r="A58" s="11" t="s">
        <v>359</v>
      </c>
      <c r="B58" s="3">
        <v>2000000</v>
      </c>
      <c r="C58" s="11">
        <v>1</v>
      </c>
      <c r="D58" s="11">
        <f t="shared" si="0"/>
        <v>511</v>
      </c>
      <c r="E58" s="11">
        <f t="shared" si="1"/>
        <v>1</v>
      </c>
      <c r="F58" s="11">
        <f t="shared" si="2"/>
        <v>1020000000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510</v>
      </c>
      <c r="E59" s="11">
        <f t="shared" si="1"/>
        <v>1</v>
      </c>
      <c r="F59" s="11">
        <f t="shared" si="2"/>
        <v>1018000000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510</v>
      </c>
      <c r="E60" s="11">
        <f t="shared" si="1"/>
        <v>0</v>
      </c>
      <c r="F60" s="11">
        <f t="shared" si="2"/>
        <v>-3570765000</v>
      </c>
      <c r="G60" s="11"/>
    </row>
    <row r="61" spans="1:7" x14ac:dyDescent="0.25">
      <c r="A61" s="11" t="s">
        <v>358</v>
      </c>
      <c r="B61" s="3">
        <v>3000000</v>
      </c>
      <c r="C61" s="11">
        <v>1</v>
      </c>
      <c r="D61" s="11">
        <f t="shared" si="0"/>
        <v>486</v>
      </c>
      <c r="E61" s="11">
        <f t="shared" si="1"/>
        <v>1</v>
      </c>
      <c r="F61" s="11">
        <f t="shared" si="2"/>
        <v>1455000000</v>
      </c>
      <c r="G61" s="11"/>
    </row>
    <row r="62" spans="1:7" x14ac:dyDescent="0.25">
      <c r="A62" s="11" t="s">
        <v>357</v>
      </c>
      <c r="B62" s="3">
        <v>-27109</v>
      </c>
      <c r="C62" s="11">
        <v>0</v>
      </c>
      <c r="D62" s="11">
        <f t="shared" si="0"/>
        <v>485</v>
      </c>
      <c r="E62" s="11">
        <f t="shared" si="1"/>
        <v>0</v>
      </c>
      <c r="F62" s="11">
        <f t="shared" si="2"/>
        <v>-13147865</v>
      </c>
      <c r="G62" s="11"/>
    </row>
    <row r="63" spans="1:7" x14ac:dyDescent="0.25">
      <c r="A63" s="11" t="s">
        <v>357</v>
      </c>
      <c r="B63" s="3">
        <v>-32989</v>
      </c>
      <c r="C63" s="11">
        <v>0</v>
      </c>
      <c r="D63" s="11">
        <f t="shared" si="0"/>
        <v>485</v>
      </c>
      <c r="E63" s="11">
        <f t="shared" si="1"/>
        <v>0</v>
      </c>
      <c r="F63" s="11">
        <f t="shared" si="2"/>
        <v>-15999665</v>
      </c>
      <c r="G63" s="11"/>
    </row>
    <row r="64" spans="1:7" x14ac:dyDescent="0.25">
      <c r="A64" s="11" t="s">
        <v>357</v>
      </c>
      <c r="B64" s="3">
        <v>3000000</v>
      </c>
      <c r="C64" s="11">
        <v>0</v>
      </c>
      <c r="D64" s="11">
        <f t="shared" si="0"/>
        <v>485</v>
      </c>
      <c r="E64" s="11">
        <f t="shared" si="1"/>
        <v>1</v>
      </c>
      <c r="F64" s="11">
        <f t="shared" si="2"/>
        <v>1452000000</v>
      </c>
      <c r="G64" s="11"/>
    </row>
    <row r="65" spans="1:7" x14ac:dyDescent="0.25">
      <c r="A65" s="11" t="s">
        <v>357</v>
      </c>
      <c r="B65" s="3">
        <v>2970000</v>
      </c>
      <c r="C65" s="11">
        <v>0</v>
      </c>
      <c r="D65" s="11">
        <f t="shared" si="0"/>
        <v>485</v>
      </c>
      <c r="E65" s="11">
        <f t="shared" si="1"/>
        <v>1</v>
      </c>
      <c r="F65" s="11">
        <f t="shared" si="2"/>
        <v>1437480000</v>
      </c>
      <c r="G65" s="11"/>
    </row>
    <row r="66" spans="1:7" x14ac:dyDescent="0.25">
      <c r="A66" s="11" t="s">
        <v>357</v>
      </c>
      <c r="B66" s="3">
        <v>1000000</v>
      </c>
      <c r="C66" s="11">
        <v>0</v>
      </c>
      <c r="D66" s="11">
        <f t="shared" ref="D66:D129" si="3">D67+C66</f>
        <v>485</v>
      </c>
      <c r="E66" s="11">
        <f t="shared" si="1"/>
        <v>1</v>
      </c>
      <c r="F66" s="11">
        <f t="shared" si="2"/>
        <v>484000000</v>
      </c>
      <c r="G66" s="11"/>
    </row>
    <row r="67" spans="1:7" x14ac:dyDescent="0.25">
      <c r="A67" s="11" t="s">
        <v>357</v>
      </c>
      <c r="B67" s="3">
        <v>30000</v>
      </c>
      <c r="C67" s="11">
        <v>1</v>
      </c>
      <c r="D67" s="11">
        <f t="shared" si="3"/>
        <v>485</v>
      </c>
      <c r="E67" s="11">
        <f t="shared" ref="E67:E130" si="4">IF(B67&gt;0,1,0)</f>
        <v>1</v>
      </c>
      <c r="F67" s="11">
        <f t="shared" ref="F67:F200" si="5">B67*(D67-E67)</f>
        <v>14520000</v>
      </c>
      <c r="G67" s="11"/>
    </row>
    <row r="68" spans="1:7" x14ac:dyDescent="0.25">
      <c r="A68" s="11" t="s">
        <v>356</v>
      </c>
      <c r="B68" s="3">
        <v>30000000</v>
      </c>
      <c r="C68" s="11">
        <v>1</v>
      </c>
      <c r="D68" s="11">
        <f t="shared" si="3"/>
        <v>484</v>
      </c>
      <c r="E68" s="11">
        <f t="shared" si="4"/>
        <v>1</v>
      </c>
      <c r="F68" s="11">
        <f t="shared" si="5"/>
        <v>14490000000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483</v>
      </c>
      <c r="E69" s="11">
        <f t="shared" si="4"/>
        <v>0</v>
      </c>
      <c r="F69" s="11">
        <f t="shared" si="5"/>
        <v>-96600000</v>
      </c>
      <c r="G69" s="11"/>
    </row>
    <row r="70" spans="1:7" x14ac:dyDescent="0.25">
      <c r="A70" s="11" t="s">
        <v>355</v>
      </c>
      <c r="B70" s="3">
        <v>1400000</v>
      </c>
      <c r="C70" s="11">
        <v>0</v>
      </c>
      <c r="D70" s="11">
        <f t="shared" si="3"/>
        <v>483</v>
      </c>
      <c r="E70" s="11">
        <f t="shared" si="4"/>
        <v>1</v>
      </c>
      <c r="F70" s="11">
        <f t="shared" si="5"/>
        <v>674800000</v>
      </c>
      <c r="G70" s="11"/>
    </row>
    <row r="71" spans="1:7" x14ac:dyDescent="0.25">
      <c r="A71" s="11" t="s">
        <v>355</v>
      </c>
      <c r="B71" s="3">
        <v>2600000</v>
      </c>
      <c r="C71" s="11">
        <v>0</v>
      </c>
      <c r="D71" s="11">
        <f t="shared" si="3"/>
        <v>483</v>
      </c>
      <c r="E71" s="11">
        <f t="shared" si="4"/>
        <v>1</v>
      </c>
      <c r="F71" s="11">
        <f t="shared" si="5"/>
        <v>1253200000</v>
      </c>
      <c r="G71" s="11"/>
    </row>
    <row r="72" spans="1:7" x14ac:dyDescent="0.25">
      <c r="A72" s="11" t="s">
        <v>355</v>
      </c>
      <c r="B72" s="3">
        <v>-1000000</v>
      </c>
      <c r="C72" s="11">
        <v>2</v>
      </c>
      <c r="D72" s="11">
        <f t="shared" si="3"/>
        <v>483</v>
      </c>
      <c r="E72" s="11">
        <f t="shared" si="4"/>
        <v>0</v>
      </c>
      <c r="F72" s="11">
        <f t="shared" si="5"/>
        <v>-483000000</v>
      </c>
      <c r="G72" s="11"/>
    </row>
    <row r="73" spans="1:7" x14ac:dyDescent="0.25">
      <c r="A73" s="11" t="s">
        <v>354</v>
      </c>
      <c r="B73" s="3">
        <v>15000000</v>
      </c>
      <c r="C73" s="11">
        <v>5</v>
      </c>
      <c r="D73" s="11">
        <f t="shared" si="3"/>
        <v>481</v>
      </c>
      <c r="E73" s="11">
        <f t="shared" si="4"/>
        <v>1</v>
      </c>
      <c r="F73" s="11">
        <f t="shared" si="5"/>
        <v>7200000000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476</v>
      </c>
      <c r="E74" s="11">
        <f t="shared" si="4"/>
        <v>0</v>
      </c>
      <c r="F74" s="11">
        <f t="shared" si="5"/>
        <v>-7141999200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474</v>
      </c>
      <c r="E75" s="11">
        <f t="shared" si="4"/>
        <v>0</v>
      </c>
      <c r="F75" s="11">
        <f t="shared" si="5"/>
        <v>-1422000000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474</v>
      </c>
      <c r="E76" s="11">
        <f t="shared" si="4"/>
        <v>0</v>
      </c>
      <c r="F76" s="11">
        <f t="shared" si="5"/>
        <v>-94800000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474</v>
      </c>
      <c r="E77" s="11">
        <f t="shared" si="4"/>
        <v>0</v>
      </c>
      <c r="F77" s="11">
        <f t="shared" si="5"/>
        <v>-5689422000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470</v>
      </c>
      <c r="E78" s="11">
        <f t="shared" si="4"/>
        <v>0</v>
      </c>
      <c r="F78" s="11">
        <f t="shared" si="5"/>
        <v>-1410423000</v>
      </c>
      <c r="G78" s="11"/>
    </row>
    <row r="79" spans="1:7" x14ac:dyDescent="0.25">
      <c r="A79" s="11" t="s">
        <v>353</v>
      </c>
      <c r="B79" s="3">
        <v>23000000</v>
      </c>
      <c r="C79" s="11">
        <v>5</v>
      </c>
      <c r="D79" s="11">
        <f t="shared" si="3"/>
        <v>465</v>
      </c>
      <c r="E79" s="11">
        <f t="shared" si="4"/>
        <v>1</v>
      </c>
      <c r="F79" s="11">
        <f t="shared" si="5"/>
        <v>10672000000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460</v>
      </c>
      <c r="E80" s="11">
        <f t="shared" si="4"/>
        <v>0</v>
      </c>
      <c r="F80" s="11">
        <f t="shared" si="5"/>
        <v>-276230000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460</v>
      </c>
      <c r="E81" s="11">
        <f t="shared" si="4"/>
        <v>0</v>
      </c>
      <c r="F81" s="11">
        <f t="shared" si="5"/>
        <v>-92000000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459</v>
      </c>
      <c r="E82" s="11">
        <f t="shared" si="4"/>
        <v>1</v>
      </c>
      <c r="F82" s="11">
        <f t="shared" si="5"/>
        <v>129715218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459</v>
      </c>
      <c r="E83" s="11">
        <f t="shared" si="4"/>
        <v>0</v>
      </c>
      <c r="F83" s="11">
        <f t="shared" si="5"/>
        <v>-91800000</v>
      </c>
      <c r="G83" s="11"/>
    </row>
    <row r="84" spans="1:10" x14ac:dyDescent="0.25">
      <c r="A84" s="11" t="s">
        <v>352</v>
      </c>
      <c r="B84" s="3">
        <v>2000000</v>
      </c>
      <c r="C84" s="11">
        <v>3</v>
      </c>
      <c r="D84" s="11">
        <f t="shared" si="3"/>
        <v>457</v>
      </c>
      <c r="E84" s="11">
        <f t="shared" si="4"/>
        <v>1</v>
      </c>
      <c r="F84" s="11">
        <f t="shared" si="5"/>
        <v>912000000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454</v>
      </c>
      <c r="E85" s="11">
        <f t="shared" si="4"/>
        <v>0</v>
      </c>
      <c r="F85" s="11">
        <f t="shared" si="5"/>
        <v>-90800000</v>
      </c>
      <c r="G85" s="11"/>
    </row>
    <row r="86" spans="1:10" x14ac:dyDescent="0.25">
      <c r="A86" s="11" t="s">
        <v>351</v>
      </c>
      <c r="B86" s="3">
        <v>-200000</v>
      </c>
      <c r="C86" s="11">
        <v>2</v>
      </c>
      <c r="D86" s="11">
        <f t="shared" si="3"/>
        <v>448</v>
      </c>
      <c r="E86" s="11">
        <f t="shared" si="4"/>
        <v>0</v>
      </c>
      <c r="F86" s="11">
        <f t="shared" si="5"/>
        <v>-89600000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446</v>
      </c>
      <c r="E87" s="11">
        <f t="shared" si="4"/>
        <v>0</v>
      </c>
      <c r="F87" s="11">
        <f t="shared" si="5"/>
        <v>-590950000</v>
      </c>
      <c r="G87" s="11"/>
    </row>
    <row r="88" spans="1:10" x14ac:dyDescent="0.25">
      <c r="A88" s="11" t="s">
        <v>350</v>
      </c>
      <c r="B88" s="3">
        <v>-500000</v>
      </c>
      <c r="C88" s="11">
        <v>0</v>
      </c>
      <c r="D88" s="11">
        <f t="shared" si="3"/>
        <v>431</v>
      </c>
      <c r="E88" s="11">
        <f t="shared" si="4"/>
        <v>0</v>
      </c>
      <c r="F88" s="11">
        <f t="shared" si="5"/>
        <v>-215500000</v>
      </c>
      <c r="G88" s="11"/>
    </row>
    <row r="89" spans="1:10" x14ac:dyDescent="0.25">
      <c r="A89" s="11" t="s">
        <v>349</v>
      </c>
      <c r="B89" s="3">
        <v>-120000</v>
      </c>
      <c r="C89" s="11">
        <v>2</v>
      </c>
      <c r="D89" s="11">
        <f t="shared" si="3"/>
        <v>431</v>
      </c>
      <c r="E89" s="11">
        <f t="shared" si="4"/>
        <v>0</v>
      </c>
      <c r="F89" s="11">
        <f t="shared" si="5"/>
        <v>-51720000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429</v>
      </c>
      <c r="E90" s="11">
        <f t="shared" si="4"/>
        <v>1</v>
      </c>
      <c r="F90" s="11">
        <f t="shared" si="5"/>
        <v>183271740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426</v>
      </c>
      <c r="E91" s="11">
        <f t="shared" si="4"/>
        <v>0</v>
      </c>
      <c r="F91" s="11">
        <f t="shared" si="5"/>
        <v>-1278852000</v>
      </c>
      <c r="G91" s="11" t="s">
        <v>338</v>
      </c>
    </row>
    <row r="92" spans="1:10" x14ac:dyDescent="0.25">
      <c r="A92" s="23" t="s">
        <v>337</v>
      </c>
      <c r="B92" s="3">
        <v>-205000</v>
      </c>
      <c r="C92" s="11">
        <v>0</v>
      </c>
      <c r="D92" s="11">
        <f t="shared" si="3"/>
        <v>424</v>
      </c>
      <c r="E92" s="11">
        <f t="shared" si="4"/>
        <v>0</v>
      </c>
      <c r="F92" s="11">
        <f t="shared" si="5"/>
        <v>-86920000</v>
      </c>
      <c r="G92" s="11" t="s">
        <v>339</v>
      </c>
    </row>
    <row r="93" spans="1:10" x14ac:dyDescent="0.25">
      <c r="A93" s="11" t="s">
        <v>335</v>
      </c>
      <c r="B93" s="3">
        <v>-350500</v>
      </c>
      <c r="C93" s="11">
        <v>11</v>
      </c>
      <c r="D93" s="11">
        <f t="shared" si="3"/>
        <v>424</v>
      </c>
      <c r="E93" s="11">
        <f t="shared" si="4"/>
        <v>0</v>
      </c>
      <c r="F93" s="11">
        <f t="shared" si="5"/>
        <v>-148612000</v>
      </c>
      <c r="G93" s="11" t="s">
        <v>336</v>
      </c>
    </row>
    <row r="94" spans="1:10" x14ac:dyDescent="0.25">
      <c r="A94" s="11" t="s">
        <v>333</v>
      </c>
      <c r="B94" s="3">
        <v>1000000</v>
      </c>
      <c r="C94" s="11">
        <v>5</v>
      </c>
      <c r="D94" s="11">
        <f t="shared" si="3"/>
        <v>413</v>
      </c>
      <c r="E94" s="11">
        <f t="shared" si="4"/>
        <v>1</v>
      </c>
      <c r="F94" s="11">
        <f t="shared" si="5"/>
        <v>412000000</v>
      </c>
      <c r="G94" s="11" t="s">
        <v>334</v>
      </c>
    </row>
    <row r="95" spans="1:10" x14ac:dyDescent="0.25">
      <c r="A95" s="11" t="s">
        <v>344</v>
      </c>
      <c r="B95" s="3">
        <v>9000000</v>
      </c>
      <c r="C95" s="11">
        <v>2</v>
      </c>
      <c r="D95" s="11">
        <f t="shared" si="3"/>
        <v>408</v>
      </c>
      <c r="E95" s="11">
        <f t="shared" si="4"/>
        <v>1</v>
      </c>
      <c r="F95" s="11">
        <f t="shared" si="5"/>
        <v>3663000000</v>
      </c>
      <c r="G95" s="11" t="s">
        <v>346</v>
      </c>
      <c r="J95" s="26"/>
    </row>
    <row r="96" spans="1:10" x14ac:dyDescent="0.25">
      <c r="A96" s="11" t="s">
        <v>347</v>
      </c>
      <c r="B96" s="3">
        <v>-26000000</v>
      </c>
      <c r="C96" s="11">
        <v>0</v>
      </c>
      <c r="D96" s="11">
        <f t="shared" si="3"/>
        <v>406</v>
      </c>
      <c r="E96" s="11">
        <f t="shared" si="4"/>
        <v>0</v>
      </c>
      <c r="F96" s="11">
        <f t="shared" si="5"/>
        <v>-10556000000</v>
      </c>
      <c r="G96" s="11" t="s">
        <v>348</v>
      </c>
    </row>
    <row r="97" spans="1:9" x14ac:dyDescent="0.25">
      <c r="A97" s="11" t="s">
        <v>347</v>
      </c>
      <c r="B97" s="3">
        <v>-26000000</v>
      </c>
      <c r="C97" s="11">
        <v>0</v>
      </c>
      <c r="D97" s="11">
        <f t="shared" si="3"/>
        <v>406</v>
      </c>
      <c r="E97" s="11">
        <f t="shared" si="4"/>
        <v>0</v>
      </c>
      <c r="F97" s="11">
        <f t="shared" si="5"/>
        <v>-10556000000</v>
      </c>
      <c r="G97" s="11"/>
    </row>
    <row r="98" spans="1:9" x14ac:dyDescent="0.25">
      <c r="A98" s="11" t="s">
        <v>347</v>
      </c>
      <c r="B98" s="3">
        <v>26000000</v>
      </c>
      <c r="C98" s="11">
        <v>0</v>
      </c>
      <c r="D98" s="11">
        <f t="shared" si="3"/>
        <v>406</v>
      </c>
      <c r="E98" s="11">
        <f t="shared" si="4"/>
        <v>1</v>
      </c>
      <c r="F98" s="11">
        <f t="shared" si="5"/>
        <v>10530000000</v>
      </c>
      <c r="G98" s="11"/>
    </row>
    <row r="99" spans="1:9" x14ac:dyDescent="0.25">
      <c r="A99" s="11" t="s">
        <v>347</v>
      </c>
      <c r="B99" s="3">
        <v>-200000</v>
      </c>
      <c r="C99" s="11">
        <v>2</v>
      </c>
      <c r="D99" s="11">
        <f t="shared" si="3"/>
        <v>406</v>
      </c>
      <c r="E99" s="11">
        <f t="shared" si="4"/>
        <v>0</v>
      </c>
      <c r="F99" s="11">
        <f t="shared" si="5"/>
        <v>-81200000</v>
      </c>
      <c r="G99" s="11"/>
      <c r="I99" t="s">
        <v>25</v>
      </c>
    </row>
    <row r="100" spans="1:9" x14ac:dyDescent="0.25">
      <c r="A100" s="11" t="s">
        <v>399</v>
      </c>
      <c r="B100" s="3">
        <v>29200000</v>
      </c>
      <c r="C100" s="11">
        <v>5</v>
      </c>
      <c r="D100" s="11">
        <f t="shared" si="3"/>
        <v>404</v>
      </c>
      <c r="E100" s="11">
        <f t="shared" si="4"/>
        <v>1</v>
      </c>
      <c r="F100" s="11">
        <f t="shared" si="5"/>
        <v>11767600000</v>
      </c>
      <c r="G100" s="11"/>
    </row>
    <row r="101" spans="1:9" x14ac:dyDescent="0.25">
      <c r="A101" s="11" t="s">
        <v>400</v>
      </c>
      <c r="B101" s="3">
        <v>399945</v>
      </c>
      <c r="C101" s="11">
        <v>1</v>
      </c>
      <c r="D101" s="11">
        <f t="shared" si="3"/>
        <v>399</v>
      </c>
      <c r="E101" s="11">
        <f t="shared" si="4"/>
        <v>1</v>
      </c>
      <c r="F101" s="11">
        <f t="shared" si="5"/>
        <v>159178110</v>
      </c>
      <c r="G101" s="11" t="s">
        <v>401</v>
      </c>
    </row>
    <row r="102" spans="1:9" x14ac:dyDescent="0.25">
      <c r="A102" s="11" t="s">
        <v>402</v>
      </c>
      <c r="B102" s="3">
        <v>2000000</v>
      </c>
      <c r="C102" s="11">
        <v>1</v>
      </c>
      <c r="D102" s="11">
        <f t="shared" si="3"/>
        <v>398</v>
      </c>
      <c r="E102" s="11">
        <f t="shared" si="4"/>
        <v>1</v>
      </c>
      <c r="F102" s="11">
        <f t="shared" si="5"/>
        <v>794000000</v>
      </c>
      <c r="G102" s="11" t="s">
        <v>403</v>
      </c>
    </row>
    <row r="103" spans="1:9" x14ac:dyDescent="0.25">
      <c r="A103" s="11" t="s">
        <v>410</v>
      </c>
      <c r="B103" s="3">
        <v>7500000</v>
      </c>
      <c r="C103" s="11">
        <v>0</v>
      </c>
      <c r="D103" s="11">
        <f t="shared" si="3"/>
        <v>397</v>
      </c>
      <c r="E103" s="11">
        <f t="shared" si="4"/>
        <v>1</v>
      </c>
      <c r="F103" s="11">
        <f t="shared" si="5"/>
        <v>2970000000</v>
      </c>
      <c r="G103" s="11" t="s">
        <v>411</v>
      </c>
    </row>
    <row r="104" spans="1:9" x14ac:dyDescent="0.25">
      <c r="A104" s="11" t="s">
        <v>410</v>
      </c>
      <c r="B104" s="3">
        <v>-66000000</v>
      </c>
      <c r="C104" s="11">
        <v>0</v>
      </c>
      <c r="D104" s="11">
        <f t="shared" si="3"/>
        <v>397</v>
      </c>
      <c r="E104" s="11">
        <f t="shared" si="4"/>
        <v>0</v>
      </c>
      <c r="F104" s="11">
        <f t="shared" si="5"/>
        <v>-26202000000</v>
      </c>
      <c r="G104" s="11" t="s">
        <v>425</v>
      </c>
    </row>
    <row r="105" spans="1:9" x14ac:dyDescent="0.25">
      <c r="A105" s="11" t="s">
        <v>410</v>
      </c>
      <c r="B105" s="3">
        <v>-145000</v>
      </c>
      <c r="C105" s="11">
        <v>2</v>
      </c>
      <c r="D105" s="11">
        <f t="shared" si="3"/>
        <v>397</v>
      </c>
      <c r="E105" s="11">
        <f t="shared" si="4"/>
        <v>0</v>
      </c>
      <c r="F105" s="11">
        <f t="shared" si="5"/>
        <v>-57565000</v>
      </c>
      <c r="G105" s="11" t="s">
        <v>426</v>
      </c>
    </row>
    <row r="106" spans="1:9" x14ac:dyDescent="0.25">
      <c r="A106" s="11" t="s">
        <v>422</v>
      </c>
      <c r="B106" s="3">
        <v>6000000</v>
      </c>
      <c r="C106" s="11">
        <v>2</v>
      </c>
      <c r="D106" s="11">
        <f t="shared" si="3"/>
        <v>395</v>
      </c>
      <c r="E106" s="11">
        <f t="shared" si="4"/>
        <v>1</v>
      </c>
      <c r="F106" s="11">
        <f t="shared" si="5"/>
        <v>2364000000</v>
      </c>
      <c r="G106" s="11" t="s">
        <v>427</v>
      </c>
    </row>
    <row r="107" spans="1:9" x14ac:dyDescent="0.25">
      <c r="A107" s="11" t="s">
        <v>435</v>
      </c>
      <c r="B107" s="3">
        <v>-6005900</v>
      </c>
      <c r="C107" s="11">
        <v>3</v>
      </c>
      <c r="D107" s="11">
        <f t="shared" si="3"/>
        <v>393</v>
      </c>
      <c r="E107" s="11">
        <f t="shared" si="4"/>
        <v>0</v>
      </c>
      <c r="F107" s="11">
        <f t="shared" si="5"/>
        <v>-2360318700</v>
      </c>
      <c r="G107" s="11" t="s">
        <v>437</v>
      </c>
    </row>
    <row r="108" spans="1:9" x14ac:dyDescent="0.25">
      <c r="A108" s="11" t="s">
        <v>440</v>
      </c>
      <c r="B108" s="3">
        <v>6000000</v>
      </c>
      <c r="C108" s="11">
        <v>12</v>
      </c>
      <c r="D108" s="11">
        <f t="shared" si="3"/>
        <v>390</v>
      </c>
      <c r="E108" s="11">
        <f t="shared" si="4"/>
        <v>1</v>
      </c>
      <c r="F108" s="11">
        <f t="shared" si="5"/>
        <v>2334000000</v>
      </c>
      <c r="G108" s="11" t="s">
        <v>445</v>
      </c>
    </row>
    <row r="109" spans="1:9" x14ac:dyDescent="0.25">
      <c r="A109" s="11" t="s">
        <v>459</v>
      </c>
      <c r="B109" s="3">
        <v>-120000</v>
      </c>
      <c r="C109" s="11">
        <v>1</v>
      </c>
      <c r="D109" s="11">
        <f t="shared" si="3"/>
        <v>378</v>
      </c>
      <c r="E109" s="11">
        <f t="shared" si="4"/>
        <v>0</v>
      </c>
      <c r="F109" s="11">
        <f t="shared" si="5"/>
        <v>-45360000</v>
      </c>
      <c r="G109" s="11" t="s">
        <v>460</v>
      </c>
    </row>
    <row r="110" spans="1:9" x14ac:dyDescent="0.25">
      <c r="A110" s="11" t="s">
        <v>461</v>
      </c>
      <c r="B110" s="3">
        <v>4000000</v>
      </c>
      <c r="C110" s="11">
        <v>1</v>
      </c>
      <c r="D110" s="11">
        <f t="shared" si="3"/>
        <v>377</v>
      </c>
      <c r="E110" s="11">
        <f t="shared" si="4"/>
        <v>1</v>
      </c>
      <c r="F110" s="11">
        <f t="shared" si="5"/>
        <v>1504000000</v>
      </c>
      <c r="G110" s="11" t="s">
        <v>462</v>
      </c>
    </row>
    <row r="111" spans="1:9" x14ac:dyDescent="0.25">
      <c r="A111" s="11" t="s">
        <v>466</v>
      </c>
      <c r="B111" s="3">
        <v>2800000</v>
      </c>
      <c r="C111" s="11">
        <v>4</v>
      </c>
      <c r="D111" s="11">
        <f t="shared" si="3"/>
        <v>376</v>
      </c>
      <c r="E111" s="11">
        <f t="shared" si="4"/>
        <v>1</v>
      </c>
      <c r="F111" s="11">
        <f t="shared" si="5"/>
        <v>1050000000</v>
      </c>
      <c r="G111" s="11" t="s">
        <v>467</v>
      </c>
    </row>
    <row r="112" spans="1:9" x14ac:dyDescent="0.25">
      <c r="A112" s="11" t="s">
        <v>471</v>
      </c>
      <c r="B112" s="3">
        <v>-200000</v>
      </c>
      <c r="C112" s="11">
        <v>1</v>
      </c>
      <c r="D112" s="11">
        <f t="shared" si="3"/>
        <v>372</v>
      </c>
      <c r="E112" s="11">
        <f t="shared" si="4"/>
        <v>0</v>
      </c>
      <c r="F112" s="11">
        <f t="shared" si="5"/>
        <v>-74400000</v>
      </c>
      <c r="G112" s="11" t="s">
        <v>473</v>
      </c>
    </row>
    <row r="113" spans="1:10" x14ac:dyDescent="0.25">
      <c r="A113" s="11" t="s">
        <v>472</v>
      </c>
      <c r="B113" s="3">
        <v>72310</v>
      </c>
      <c r="C113" s="11">
        <v>17</v>
      </c>
      <c r="D113" s="11">
        <f t="shared" si="3"/>
        <v>371</v>
      </c>
      <c r="E113" s="11">
        <f t="shared" si="4"/>
        <v>1</v>
      </c>
      <c r="F113" s="11">
        <f t="shared" si="5"/>
        <v>26754700</v>
      </c>
      <c r="G113" s="11" t="s">
        <v>499</v>
      </c>
    </row>
    <row r="114" spans="1:10" x14ac:dyDescent="0.25">
      <c r="A114" s="11" t="s">
        <v>495</v>
      </c>
      <c r="B114" s="3">
        <v>-200000</v>
      </c>
      <c r="C114" s="11">
        <v>1</v>
      </c>
      <c r="D114" s="11">
        <f t="shared" si="3"/>
        <v>354</v>
      </c>
      <c r="E114" s="11">
        <f t="shared" si="4"/>
        <v>0</v>
      </c>
      <c r="F114" s="11">
        <f t="shared" si="5"/>
        <v>-70800000</v>
      </c>
      <c r="G114" s="11" t="s">
        <v>460</v>
      </c>
      <c r="J114" t="s">
        <v>25</v>
      </c>
    </row>
    <row r="115" spans="1:10" x14ac:dyDescent="0.25">
      <c r="A115" s="23" t="s">
        <v>496</v>
      </c>
      <c r="B115" s="35">
        <v>-11000000</v>
      </c>
      <c r="C115" s="23">
        <v>0</v>
      </c>
      <c r="D115" s="11">
        <f t="shared" si="3"/>
        <v>353</v>
      </c>
      <c r="E115" s="11">
        <f t="shared" si="4"/>
        <v>0</v>
      </c>
      <c r="F115" s="23">
        <f t="shared" si="5"/>
        <v>-3883000000</v>
      </c>
      <c r="G115" s="23" t="s">
        <v>500</v>
      </c>
    </row>
    <row r="116" spans="1:10" x14ac:dyDescent="0.25">
      <c r="A116" s="11" t="s">
        <v>496</v>
      </c>
      <c r="B116" s="3">
        <v>-200000</v>
      </c>
      <c r="C116" s="11">
        <v>2</v>
      </c>
      <c r="D116" s="11">
        <f t="shared" si="3"/>
        <v>353</v>
      </c>
      <c r="E116" s="11">
        <f t="shared" si="4"/>
        <v>0</v>
      </c>
      <c r="F116" s="11">
        <f t="shared" si="5"/>
        <v>-70600000</v>
      </c>
      <c r="G116" s="11" t="s">
        <v>460</v>
      </c>
      <c r="I116" t="s">
        <v>25</v>
      </c>
    </row>
    <row r="117" spans="1:10" x14ac:dyDescent="0.25">
      <c r="A117" s="11" t="s">
        <v>501</v>
      </c>
      <c r="B117" s="3">
        <v>-450500</v>
      </c>
      <c r="C117" s="11">
        <v>0</v>
      </c>
      <c r="D117" s="11">
        <f t="shared" si="3"/>
        <v>351</v>
      </c>
      <c r="E117" s="11">
        <f t="shared" si="4"/>
        <v>0</v>
      </c>
      <c r="F117" s="11">
        <f t="shared" si="5"/>
        <v>-158125500</v>
      </c>
      <c r="G117" s="11" t="s">
        <v>502</v>
      </c>
    </row>
    <row r="118" spans="1:10" x14ac:dyDescent="0.25">
      <c r="A118" s="11" t="s">
        <v>501</v>
      </c>
      <c r="B118" s="3">
        <v>-200000</v>
      </c>
      <c r="C118" s="11">
        <v>6</v>
      </c>
      <c r="D118" s="11">
        <f t="shared" si="3"/>
        <v>351</v>
      </c>
      <c r="E118" s="11">
        <f t="shared" si="4"/>
        <v>0</v>
      </c>
      <c r="F118" s="11">
        <f t="shared" si="5"/>
        <v>-70200000</v>
      </c>
      <c r="G118" s="11" t="s">
        <v>503</v>
      </c>
      <c r="J118" t="s">
        <v>25</v>
      </c>
    </row>
    <row r="119" spans="1:10" x14ac:dyDescent="0.25">
      <c r="A119" s="11" t="s">
        <v>505</v>
      </c>
      <c r="B119" s="3">
        <v>-154550</v>
      </c>
      <c r="C119" s="11">
        <v>0</v>
      </c>
      <c r="D119" s="11">
        <f t="shared" si="3"/>
        <v>345</v>
      </c>
      <c r="E119" s="11">
        <f t="shared" si="4"/>
        <v>0</v>
      </c>
      <c r="F119" s="11">
        <f t="shared" si="5"/>
        <v>-53319750</v>
      </c>
      <c r="G119" s="11" t="s">
        <v>506</v>
      </c>
    </row>
    <row r="120" spans="1:10" x14ac:dyDescent="0.25">
      <c r="A120" s="11" t="s">
        <v>505</v>
      </c>
      <c r="B120" s="3">
        <v>-320</v>
      </c>
      <c r="C120" s="11">
        <v>1</v>
      </c>
      <c r="D120" s="11">
        <f t="shared" si="3"/>
        <v>345</v>
      </c>
      <c r="E120" s="11">
        <f t="shared" si="4"/>
        <v>0</v>
      </c>
      <c r="F120" s="11">
        <f t="shared" si="5"/>
        <v>-110400</v>
      </c>
      <c r="G120" s="11" t="s">
        <v>507</v>
      </c>
    </row>
    <row r="121" spans="1:10" x14ac:dyDescent="0.25">
      <c r="A121" s="11" t="s">
        <v>508</v>
      </c>
      <c r="B121" s="3">
        <v>-432000</v>
      </c>
      <c r="C121" s="11">
        <v>6</v>
      </c>
      <c r="D121" s="11">
        <f t="shared" si="3"/>
        <v>344</v>
      </c>
      <c r="E121" s="11">
        <f t="shared" si="4"/>
        <v>0</v>
      </c>
      <c r="F121" s="11">
        <f t="shared" si="5"/>
        <v>-148608000</v>
      </c>
      <c r="G121" s="11" t="s">
        <v>509</v>
      </c>
    </row>
    <row r="122" spans="1:10" x14ac:dyDescent="0.25">
      <c r="A122" s="11" t="s">
        <v>510</v>
      </c>
      <c r="B122" s="3">
        <v>74043</v>
      </c>
      <c r="C122" s="11">
        <v>21</v>
      </c>
      <c r="D122" s="11">
        <f t="shared" si="3"/>
        <v>338</v>
      </c>
      <c r="E122" s="11">
        <f t="shared" si="4"/>
        <v>1</v>
      </c>
      <c r="F122" s="11">
        <f t="shared" si="5"/>
        <v>24952491</v>
      </c>
      <c r="G122" s="11" t="s">
        <v>511</v>
      </c>
    </row>
    <row r="123" spans="1:10" x14ac:dyDescent="0.25">
      <c r="A123" s="11" t="s">
        <v>533</v>
      </c>
      <c r="B123" s="3">
        <v>-52000</v>
      </c>
      <c r="C123" s="11">
        <v>41</v>
      </c>
      <c r="D123" s="11">
        <f t="shared" si="3"/>
        <v>317</v>
      </c>
      <c r="E123" s="11">
        <f t="shared" si="4"/>
        <v>0</v>
      </c>
      <c r="F123" s="11">
        <f t="shared" si="5"/>
        <v>-16484000</v>
      </c>
      <c r="G123" s="11" t="s">
        <v>535</v>
      </c>
    </row>
    <row r="124" spans="1:10" x14ac:dyDescent="0.25">
      <c r="A124" s="11" t="s">
        <v>585</v>
      </c>
      <c r="B124" s="3">
        <v>1187</v>
      </c>
      <c r="C124" s="11">
        <v>1</v>
      </c>
      <c r="D124" s="11">
        <f t="shared" si="3"/>
        <v>276</v>
      </c>
      <c r="E124" s="11">
        <f t="shared" si="4"/>
        <v>1</v>
      </c>
      <c r="F124" s="11">
        <f t="shared" si="5"/>
        <v>326425</v>
      </c>
      <c r="G124" s="11" t="s">
        <v>586</v>
      </c>
    </row>
    <row r="125" spans="1:10" x14ac:dyDescent="0.25">
      <c r="A125" s="11" t="s">
        <v>583</v>
      </c>
      <c r="B125" s="3">
        <v>2400000</v>
      </c>
      <c r="C125" s="11">
        <v>2</v>
      </c>
      <c r="D125" s="11">
        <f t="shared" si="3"/>
        <v>275</v>
      </c>
      <c r="E125" s="11">
        <f t="shared" si="4"/>
        <v>1</v>
      </c>
      <c r="F125" s="11">
        <f t="shared" si="5"/>
        <v>657600000</v>
      </c>
      <c r="G125" s="11" t="s">
        <v>584</v>
      </c>
    </row>
    <row r="126" spans="1:10" x14ac:dyDescent="0.25">
      <c r="A126" s="11" t="s">
        <v>592</v>
      </c>
      <c r="B126" s="3">
        <v>1342800</v>
      </c>
      <c r="C126" s="11">
        <v>0</v>
      </c>
      <c r="D126" s="11">
        <f t="shared" si="3"/>
        <v>273</v>
      </c>
      <c r="E126" s="11">
        <f t="shared" si="4"/>
        <v>1</v>
      </c>
      <c r="F126" s="11">
        <f t="shared" si="5"/>
        <v>365241600</v>
      </c>
      <c r="G126" s="11" t="s">
        <v>593</v>
      </c>
    </row>
    <row r="127" spans="1:10" x14ac:dyDescent="0.25">
      <c r="A127" s="11" t="s">
        <v>592</v>
      </c>
      <c r="B127" s="3">
        <v>1342800</v>
      </c>
      <c r="C127" s="11">
        <v>12</v>
      </c>
      <c r="D127" s="11">
        <f t="shared" si="3"/>
        <v>273</v>
      </c>
      <c r="E127" s="11">
        <f t="shared" si="4"/>
        <v>1</v>
      </c>
      <c r="F127" s="11">
        <f t="shared" si="5"/>
        <v>365241600</v>
      </c>
      <c r="G127" s="11" t="s">
        <v>594</v>
      </c>
    </row>
    <row r="128" spans="1:10" x14ac:dyDescent="0.25">
      <c r="A128" s="11" t="s">
        <v>601</v>
      </c>
      <c r="B128" s="3">
        <v>-200000</v>
      </c>
      <c r="C128" s="11">
        <v>2</v>
      </c>
      <c r="D128" s="11">
        <f t="shared" si="3"/>
        <v>261</v>
      </c>
      <c r="E128" s="11">
        <f t="shared" si="4"/>
        <v>0</v>
      </c>
      <c r="F128" s="11">
        <f t="shared" si="5"/>
        <v>-52200000</v>
      </c>
      <c r="G128" s="11" t="s">
        <v>158</v>
      </c>
    </row>
    <row r="129" spans="1:11" x14ac:dyDescent="0.25">
      <c r="A129" s="11" t="s">
        <v>602</v>
      </c>
      <c r="B129" s="3">
        <v>-15618</v>
      </c>
      <c r="C129" s="11">
        <v>1</v>
      </c>
      <c r="D129" s="11">
        <f t="shared" si="3"/>
        <v>259</v>
      </c>
      <c r="E129" s="11">
        <f t="shared" si="4"/>
        <v>0</v>
      </c>
      <c r="F129" s="11">
        <f>B129*(D129-E129)</f>
        <v>-4045062</v>
      </c>
      <c r="G129" s="11" t="s">
        <v>603</v>
      </c>
      <c r="K129" t="s">
        <v>25</v>
      </c>
    </row>
    <row r="130" spans="1:11" x14ac:dyDescent="0.25">
      <c r="A130" s="11" t="s">
        <v>604</v>
      </c>
      <c r="B130" s="3">
        <v>-200000</v>
      </c>
      <c r="C130" s="11">
        <v>1</v>
      </c>
      <c r="D130" s="11">
        <f t="shared" ref="D130:D185" si="6">D131+C130</f>
        <v>258</v>
      </c>
      <c r="E130" s="11">
        <f t="shared" si="4"/>
        <v>0</v>
      </c>
      <c r="F130" s="11">
        <f t="shared" si="5"/>
        <v>-51600000</v>
      </c>
      <c r="G130" s="11" t="s">
        <v>503</v>
      </c>
    </row>
    <row r="131" spans="1:11" x14ac:dyDescent="0.25">
      <c r="A131" s="11" t="s">
        <v>606</v>
      </c>
      <c r="B131" s="3">
        <v>-200000</v>
      </c>
      <c r="C131" s="11">
        <v>1</v>
      </c>
      <c r="D131" s="11">
        <f t="shared" si="6"/>
        <v>257</v>
      </c>
      <c r="E131" s="11">
        <f t="shared" ref="E131:E201" si="7">IF(B131&gt;0,1,0)</f>
        <v>0</v>
      </c>
      <c r="F131" s="11">
        <f t="shared" si="5"/>
        <v>-51400000</v>
      </c>
      <c r="G131" s="11" t="s">
        <v>607</v>
      </c>
    </row>
    <row r="132" spans="1:11" x14ac:dyDescent="0.25">
      <c r="A132" s="11" t="s">
        <v>608</v>
      </c>
      <c r="B132" s="3">
        <v>-390000</v>
      </c>
      <c r="C132" s="11">
        <v>0</v>
      </c>
      <c r="D132" s="11">
        <f t="shared" si="6"/>
        <v>256</v>
      </c>
      <c r="E132" s="11">
        <f t="shared" si="7"/>
        <v>0</v>
      </c>
      <c r="F132" s="11">
        <f t="shared" si="5"/>
        <v>-99840000</v>
      </c>
      <c r="G132" s="11" t="s">
        <v>609</v>
      </c>
    </row>
    <row r="133" spans="1:11" x14ac:dyDescent="0.25">
      <c r="A133" s="11" t="s">
        <v>608</v>
      </c>
      <c r="B133" s="3">
        <v>-24500</v>
      </c>
      <c r="C133" s="11">
        <v>1</v>
      </c>
      <c r="D133" s="11">
        <f t="shared" si="6"/>
        <v>256</v>
      </c>
      <c r="E133" s="11">
        <f t="shared" si="7"/>
        <v>0</v>
      </c>
      <c r="F133" s="11">
        <f t="shared" si="5"/>
        <v>-6272000</v>
      </c>
      <c r="G133" s="11" t="s">
        <v>610</v>
      </c>
    </row>
    <row r="134" spans="1:11" x14ac:dyDescent="0.25">
      <c r="A134" s="11" t="s">
        <v>611</v>
      </c>
      <c r="B134" s="3">
        <v>-95000</v>
      </c>
      <c r="C134" s="11">
        <v>4</v>
      </c>
      <c r="D134" s="11">
        <f t="shared" si="6"/>
        <v>255</v>
      </c>
      <c r="E134" s="11">
        <f t="shared" si="7"/>
        <v>0</v>
      </c>
      <c r="F134" s="11">
        <f t="shared" si="5"/>
        <v>-24225000</v>
      </c>
      <c r="G134" s="11" t="s">
        <v>460</v>
      </c>
    </row>
    <row r="135" spans="1:11" x14ac:dyDescent="0.25">
      <c r="A135" s="11" t="s">
        <v>613</v>
      </c>
      <c r="B135" s="3">
        <v>-200000</v>
      </c>
      <c r="C135" s="11">
        <v>2</v>
      </c>
      <c r="D135" s="11">
        <f t="shared" si="6"/>
        <v>251</v>
      </c>
      <c r="E135" s="11">
        <f t="shared" si="7"/>
        <v>0</v>
      </c>
      <c r="F135" s="11">
        <f t="shared" si="5"/>
        <v>-50200000</v>
      </c>
      <c r="G135" s="11" t="s">
        <v>614</v>
      </c>
    </row>
    <row r="136" spans="1:11" x14ac:dyDescent="0.25">
      <c r="A136" s="11" t="s">
        <v>616</v>
      </c>
      <c r="B136" s="3">
        <v>50000000</v>
      </c>
      <c r="C136" s="11">
        <v>1</v>
      </c>
      <c r="D136" s="11">
        <f t="shared" si="6"/>
        <v>249</v>
      </c>
      <c r="E136" s="11">
        <f t="shared" si="7"/>
        <v>1</v>
      </c>
      <c r="F136" s="11">
        <f t="shared" si="5"/>
        <v>12400000000</v>
      </c>
      <c r="G136" s="11" t="s">
        <v>617</v>
      </c>
    </row>
    <row r="137" spans="1:11" x14ac:dyDescent="0.25">
      <c r="A137" s="11" t="s">
        <v>622</v>
      </c>
      <c r="B137" s="3">
        <v>12000000</v>
      </c>
      <c r="C137" s="11">
        <v>2</v>
      </c>
      <c r="D137" s="11">
        <f t="shared" si="6"/>
        <v>248</v>
      </c>
      <c r="E137" s="11">
        <f t="shared" si="7"/>
        <v>1</v>
      </c>
      <c r="F137" s="11">
        <f t="shared" si="5"/>
        <v>2964000000</v>
      </c>
      <c r="G137" s="11" t="s">
        <v>617</v>
      </c>
    </row>
    <row r="138" spans="1:11" x14ac:dyDescent="0.25">
      <c r="A138" s="11" t="s">
        <v>624</v>
      </c>
      <c r="B138" s="3">
        <v>2000000</v>
      </c>
      <c r="C138" s="11">
        <v>1</v>
      </c>
      <c r="D138" s="11">
        <f t="shared" si="6"/>
        <v>246</v>
      </c>
      <c r="E138" s="11">
        <f t="shared" si="7"/>
        <v>1</v>
      </c>
      <c r="F138" s="11">
        <f t="shared" si="5"/>
        <v>490000000</v>
      </c>
      <c r="G138" s="11" t="s">
        <v>626</v>
      </c>
    </row>
    <row r="139" spans="1:11" x14ac:dyDescent="0.25">
      <c r="A139" s="11" t="s">
        <v>628</v>
      </c>
      <c r="B139" s="3">
        <v>87538</v>
      </c>
      <c r="C139" s="11">
        <v>13</v>
      </c>
      <c r="D139" s="11">
        <f t="shared" si="6"/>
        <v>245</v>
      </c>
      <c r="E139" s="11">
        <f t="shared" si="7"/>
        <v>1</v>
      </c>
      <c r="F139" s="11">
        <f t="shared" si="5"/>
        <v>21359272</v>
      </c>
      <c r="G139" s="11" t="s">
        <v>376</v>
      </c>
    </row>
    <row r="140" spans="1:11" x14ac:dyDescent="0.25">
      <c r="A140" s="11" t="s">
        <v>650</v>
      </c>
      <c r="B140" s="3">
        <v>-3000900</v>
      </c>
      <c r="C140" s="11">
        <v>1</v>
      </c>
      <c r="D140" s="11">
        <f t="shared" si="6"/>
        <v>232</v>
      </c>
      <c r="E140" s="11">
        <f t="shared" si="7"/>
        <v>0</v>
      </c>
      <c r="F140" s="11">
        <f t="shared" si="5"/>
        <v>-696208800</v>
      </c>
      <c r="G140" s="11" t="s">
        <v>651</v>
      </c>
    </row>
    <row r="141" spans="1:11" x14ac:dyDescent="0.25">
      <c r="A141" s="11" t="s">
        <v>668</v>
      </c>
      <c r="B141" s="3">
        <v>-3000900</v>
      </c>
      <c r="C141" s="11">
        <v>17</v>
      </c>
      <c r="D141" s="11">
        <f t="shared" si="6"/>
        <v>231</v>
      </c>
      <c r="E141" s="11">
        <f t="shared" si="7"/>
        <v>0</v>
      </c>
      <c r="F141" s="11">
        <f t="shared" si="5"/>
        <v>-693207900</v>
      </c>
      <c r="G141" s="11" t="s">
        <v>651</v>
      </c>
      <c r="K141" t="s">
        <v>25</v>
      </c>
    </row>
    <row r="142" spans="1:11" x14ac:dyDescent="0.25">
      <c r="A142" s="11" t="s">
        <v>631</v>
      </c>
      <c r="B142" s="3">
        <v>602025</v>
      </c>
      <c r="C142" s="11">
        <v>0</v>
      </c>
      <c r="D142" s="11">
        <f t="shared" si="6"/>
        <v>214</v>
      </c>
      <c r="E142" s="11">
        <f t="shared" si="7"/>
        <v>1</v>
      </c>
      <c r="F142" s="11">
        <f t="shared" si="5"/>
        <v>128231325</v>
      </c>
      <c r="G142" s="11" t="s">
        <v>670</v>
      </c>
    </row>
    <row r="143" spans="1:11" x14ac:dyDescent="0.25">
      <c r="A143" s="11" t="s">
        <v>631</v>
      </c>
      <c r="B143" s="3">
        <v>-46000000</v>
      </c>
      <c r="C143" s="11">
        <v>31</v>
      </c>
      <c r="D143" s="11">
        <f t="shared" si="6"/>
        <v>214</v>
      </c>
      <c r="E143" s="11">
        <f t="shared" si="7"/>
        <v>0</v>
      </c>
      <c r="F143" s="11">
        <f t="shared" si="5"/>
        <v>-9844000000</v>
      </c>
      <c r="G143" s="11" t="s">
        <v>673</v>
      </c>
    </row>
    <row r="144" spans="1:11" x14ac:dyDescent="0.25">
      <c r="A144" s="11" t="s">
        <v>632</v>
      </c>
      <c r="B144" s="3">
        <v>154107</v>
      </c>
      <c r="C144" s="11">
        <v>1</v>
      </c>
      <c r="D144" s="11">
        <f t="shared" si="6"/>
        <v>183</v>
      </c>
      <c r="E144" s="11">
        <f t="shared" si="7"/>
        <v>1</v>
      </c>
      <c r="F144" s="11">
        <f t="shared" si="5"/>
        <v>28047474</v>
      </c>
      <c r="G144" s="11" t="s">
        <v>696</v>
      </c>
    </row>
    <row r="145" spans="1:11" x14ac:dyDescent="0.25">
      <c r="A145" s="11" t="s">
        <v>702</v>
      </c>
      <c r="B145" s="3">
        <v>3000000</v>
      </c>
      <c r="C145" s="11">
        <v>3</v>
      </c>
      <c r="D145" s="11">
        <f t="shared" si="6"/>
        <v>182</v>
      </c>
      <c r="E145" s="11">
        <f t="shared" si="7"/>
        <v>1</v>
      </c>
      <c r="F145" s="11">
        <f t="shared" si="5"/>
        <v>543000000</v>
      </c>
      <c r="G145" s="11" t="s">
        <v>703</v>
      </c>
    </row>
    <row r="146" spans="1:11" x14ac:dyDescent="0.25">
      <c r="A146" s="11" t="s">
        <v>704</v>
      </c>
      <c r="B146" s="3">
        <v>-200000</v>
      </c>
      <c r="C146" s="11">
        <v>5</v>
      </c>
      <c r="D146" s="11">
        <f t="shared" si="6"/>
        <v>179</v>
      </c>
      <c r="E146" s="11">
        <f t="shared" si="7"/>
        <v>0</v>
      </c>
      <c r="F146" s="11">
        <f t="shared" si="5"/>
        <v>-35800000</v>
      </c>
      <c r="G146" s="11" t="s">
        <v>158</v>
      </c>
    </row>
    <row r="147" spans="1:11" x14ac:dyDescent="0.25">
      <c r="A147" s="11" t="s">
        <v>705</v>
      </c>
      <c r="B147" s="3">
        <v>-200000</v>
      </c>
      <c r="C147" s="11">
        <v>1</v>
      </c>
      <c r="D147" s="11">
        <f t="shared" si="6"/>
        <v>174</v>
      </c>
      <c r="E147" s="11">
        <f t="shared" si="7"/>
        <v>0</v>
      </c>
      <c r="F147" s="11">
        <f t="shared" si="5"/>
        <v>-34800000</v>
      </c>
      <c r="G147" s="11" t="s">
        <v>158</v>
      </c>
      <c r="K147" t="s">
        <v>25</v>
      </c>
    </row>
    <row r="148" spans="1:11" x14ac:dyDescent="0.25">
      <c r="A148" s="11" t="s">
        <v>706</v>
      </c>
      <c r="B148" s="3">
        <v>-200000</v>
      </c>
      <c r="C148" s="11">
        <v>4</v>
      </c>
      <c r="D148" s="11">
        <f t="shared" si="6"/>
        <v>173</v>
      </c>
      <c r="E148" s="11">
        <f t="shared" si="7"/>
        <v>0</v>
      </c>
      <c r="F148" s="11">
        <f t="shared" si="5"/>
        <v>-34600000</v>
      </c>
      <c r="G148" s="11" t="s">
        <v>158</v>
      </c>
    </row>
    <row r="149" spans="1:11" x14ac:dyDescent="0.25">
      <c r="A149" s="11" t="s">
        <v>635</v>
      </c>
      <c r="B149" s="3">
        <v>-200000</v>
      </c>
      <c r="C149" s="11">
        <v>1</v>
      </c>
      <c r="D149" s="11">
        <f t="shared" si="6"/>
        <v>169</v>
      </c>
      <c r="E149" s="11">
        <f t="shared" si="7"/>
        <v>0</v>
      </c>
      <c r="F149" s="11">
        <f t="shared" si="5"/>
        <v>-33800000</v>
      </c>
      <c r="G149" s="11" t="s">
        <v>158</v>
      </c>
    </row>
    <row r="150" spans="1:11" x14ac:dyDescent="0.25">
      <c r="A150" s="11" t="s">
        <v>713</v>
      </c>
      <c r="B150" s="3">
        <v>24073400</v>
      </c>
      <c r="C150" s="11">
        <v>2</v>
      </c>
      <c r="D150" s="11">
        <f t="shared" si="6"/>
        <v>168</v>
      </c>
      <c r="E150" s="11">
        <f t="shared" si="7"/>
        <v>1</v>
      </c>
      <c r="F150" s="11">
        <f t="shared" si="5"/>
        <v>4020257800</v>
      </c>
      <c r="G150" s="11" t="s">
        <v>714</v>
      </c>
    </row>
    <row r="151" spans="1:11" x14ac:dyDescent="0.25">
      <c r="A151" s="11" t="s">
        <v>723</v>
      </c>
      <c r="B151" s="3">
        <v>-200000</v>
      </c>
      <c r="C151" s="11">
        <v>6</v>
      </c>
      <c r="D151" s="11">
        <f t="shared" si="6"/>
        <v>166</v>
      </c>
      <c r="E151" s="11">
        <f t="shared" si="7"/>
        <v>0</v>
      </c>
      <c r="F151" s="11">
        <f t="shared" si="5"/>
        <v>-33200000</v>
      </c>
      <c r="G151" s="11" t="s">
        <v>158</v>
      </c>
    </row>
    <row r="152" spans="1:11" x14ac:dyDescent="0.25">
      <c r="A152" s="11" t="s">
        <v>725</v>
      </c>
      <c r="B152" s="3">
        <v>-30000000</v>
      </c>
      <c r="C152" s="11">
        <v>1</v>
      </c>
      <c r="D152" s="11">
        <f t="shared" si="6"/>
        <v>160</v>
      </c>
      <c r="E152" s="11">
        <f t="shared" si="7"/>
        <v>0</v>
      </c>
      <c r="F152" s="11">
        <f t="shared" si="5"/>
        <v>-4800000000</v>
      </c>
      <c r="G152" s="11" t="s">
        <v>726</v>
      </c>
    </row>
    <row r="153" spans="1:11" x14ac:dyDescent="0.25">
      <c r="A153" s="11" t="s">
        <v>733</v>
      </c>
      <c r="B153" s="3">
        <v>-52000</v>
      </c>
      <c r="C153" s="11">
        <v>0</v>
      </c>
      <c r="D153" s="11">
        <f t="shared" si="6"/>
        <v>159</v>
      </c>
      <c r="E153" s="11">
        <f t="shared" si="7"/>
        <v>0</v>
      </c>
      <c r="F153" s="11">
        <f t="shared" si="5"/>
        <v>-8268000</v>
      </c>
      <c r="G153" s="11" t="s">
        <v>734</v>
      </c>
    </row>
    <row r="154" spans="1:11" x14ac:dyDescent="0.25">
      <c r="A154" s="11" t="s">
        <v>733</v>
      </c>
      <c r="B154" s="3">
        <v>-136000</v>
      </c>
      <c r="C154" s="11">
        <v>5</v>
      </c>
      <c r="D154" s="11">
        <f t="shared" si="6"/>
        <v>159</v>
      </c>
      <c r="E154" s="11">
        <f t="shared" si="7"/>
        <v>0</v>
      </c>
      <c r="F154" s="11">
        <f t="shared" si="5"/>
        <v>-21624000</v>
      </c>
      <c r="G154" s="11" t="s">
        <v>735</v>
      </c>
    </row>
    <row r="155" spans="1:11" x14ac:dyDescent="0.25">
      <c r="A155" s="11" t="s">
        <v>738</v>
      </c>
      <c r="B155" s="3">
        <v>3000000</v>
      </c>
      <c r="C155" s="11">
        <v>1</v>
      </c>
      <c r="D155" s="11">
        <f t="shared" si="6"/>
        <v>154</v>
      </c>
      <c r="E155" s="11">
        <f t="shared" si="7"/>
        <v>1</v>
      </c>
      <c r="F155" s="11">
        <f t="shared" si="5"/>
        <v>459000000</v>
      </c>
      <c r="G155" s="11" t="s">
        <v>739</v>
      </c>
    </row>
    <row r="156" spans="1:11" x14ac:dyDescent="0.25">
      <c r="A156" s="11" t="s">
        <v>633</v>
      </c>
      <c r="B156" s="3">
        <v>189103</v>
      </c>
      <c r="C156" s="11">
        <v>0</v>
      </c>
      <c r="D156" s="11">
        <f t="shared" si="6"/>
        <v>153</v>
      </c>
      <c r="E156" s="11">
        <f t="shared" si="7"/>
        <v>1</v>
      </c>
      <c r="F156" s="11">
        <f t="shared" si="5"/>
        <v>28743656</v>
      </c>
      <c r="G156" s="11" t="s">
        <v>740</v>
      </c>
    </row>
    <row r="157" spans="1:11" x14ac:dyDescent="0.25">
      <c r="A157" s="11" t="s">
        <v>633</v>
      </c>
      <c r="B157" s="3">
        <v>24227700</v>
      </c>
      <c r="C157" s="11">
        <v>8</v>
      </c>
      <c r="D157" s="11">
        <f t="shared" si="6"/>
        <v>153</v>
      </c>
      <c r="E157" s="11">
        <f t="shared" si="7"/>
        <v>1</v>
      </c>
      <c r="F157" s="11">
        <f t="shared" si="5"/>
        <v>3682610400</v>
      </c>
      <c r="G157" s="11" t="s">
        <v>741</v>
      </c>
    </row>
    <row r="158" spans="1:11" x14ac:dyDescent="0.25">
      <c r="A158" s="11" t="s">
        <v>761</v>
      </c>
      <c r="B158" s="3">
        <v>24295200</v>
      </c>
      <c r="C158" s="11">
        <v>0</v>
      </c>
      <c r="D158" s="11">
        <f t="shared" si="6"/>
        <v>145</v>
      </c>
      <c r="E158" s="11">
        <f t="shared" si="7"/>
        <v>1</v>
      </c>
      <c r="F158" s="11">
        <f t="shared" si="5"/>
        <v>3498508800</v>
      </c>
      <c r="G158" s="11" t="s">
        <v>755</v>
      </c>
    </row>
    <row r="159" spans="1:11" x14ac:dyDescent="0.25">
      <c r="A159" s="11" t="s">
        <v>761</v>
      </c>
      <c r="B159" s="3">
        <v>-201000</v>
      </c>
      <c r="C159" s="11">
        <v>5</v>
      </c>
      <c r="D159" s="11">
        <f t="shared" si="6"/>
        <v>145</v>
      </c>
      <c r="E159" s="11">
        <f t="shared" si="7"/>
        <v>0</v>
      </c>
      <c r="F159" s="11">
        <f t="shared" si="5"/>
        <v>-29145000</v>
      </c>
      <c r="G159" s="11" t="s">
        <v>768</v>
      </c>
    </row>
    <row r="160" spans="1:11" x14ac:dyDescent="0.25">
      <c r="A160" s="11" t="s">
        <v>769</v>
      </c>
      <c r="B160" s="3">
        <v>-200000</v>
      </c>
      <c r="C160" s="11">
        <v>3</v>
      </c>
      <c r="D160" s="11">
        <f t="shared" si="6"/>
        <v>140</v>
      </c>
      <c r="E160" s="11">
        <f t="shared" si="7"/>
        <v>0</v>
      </c>
      <c r="F160" s="11">
        <f t="shared" si="5"/>
        <v>-28000000</v>
      </c>
      <c r="G160" s="11" t="s">
        <v>770</v>
      </c>
    </row>
    <row r="161" spans="1:7" x14ac:dyDescent="0.25">
      <c r="A161" s="11" t="s">
        <v>776</v>
      </c>
      <c r="B161" s="3">
        <v>-200000</v>
      </c>
      <c r="C161" s="11">
        <v>4</v>
      </c>
      <c r="D161" s="11">
        <f t="shared" si="6"/>
        <v>137</v>
      </c>
      <c r="E161" s="11">
        <f t="shared" si="7"/>
        <v>0</v>
      </c>
      <c r="F161" s="11">
        <f t="shared" si="5"/>
        <v>-27400000</v>
      </c>
      <c r="G161" s="11" t="s">
        <v>770</v>
      </c>
    </row>
    <row r="162" spans="1:7" x14ac:dyDescent="0.25">
      <c r="A162" s="11" t="s">
        <v>778</v>
      </c>
      <c r="B162" s="3">
        <v>-200000</v>
      </c>
      <c r="C162" s="11">
        <v>3</v>
      </c>
      <c r="D162" s="11">
        <f t="shared" si="6"/>
        <v>133</v>
      </c>
      <c r="E162" s="11">
        <f t="shared" si="7"/>
        <v>0</v>
      </c>
      <c r="F162" s="11">
        <f t="shared" si="5"/>
        <v>-26600000</v>
      </c>
      <c r="G162" s="11" t="s">
        <v>770</v>
      </c>
    </row>
    <row r="163" spans="1:7" x14ac:dyDescent="0.25">
      <c r="A163" s="11" t="s">
        <v>779</v>
      </c>
      <c r="B163" s="3">
        <v>-200000</v>
      </c>
      <c r="C163" s="11">
        <v>7</v>
      </c>
      <c r="D163" s="11">
        <f t="shared" si="6"/>
        <v>130</v>
      </c>
      <c r="E163" s="11">
        <f t="shared" si="7"/>
        <v>0</v>
      </c>
      <c r="F163" s="11">
        <f t="shared" si="5"/>
        <v>-26000000</v>
      </c>
      <c r="G163" s="11" t="s">
        <v>770</v>
      </c>
    </row>
    <row r="164" spans="1:7" x14ac:dyDescent="0.25">
      <c r="A164" s="11" t="s">
        <v>634</v>
      </c>
      <c r="B164" s="3">
        <v>457674</v>
      </c>
      <c r="C164" s="11">
        <v>3</v>
      </c>
      <c r="D164" s="11">
        <f t="shared" si="6"/>
        <v>123</v>
      </c>
      <c r="E164" s="11">
        <f t="shared" si="7"/>
        <v>1</v>
      </c>
      <c r="F164" s="11">
        <f t="shared" si="5"/>
        <v>55836228</v>
      </c>
      <c r="G164" s="11" t="s">
        <v>783</v>
      </c>
    </row>
    <row r="165" spans="1:7" x14ac:dyDescent="0.25">
      <c r="A165" s="11" t="s">
        <v>788</v>
      </c>
      <c r="B165" s="3">
        <v>2700000</v>
      </c>
      <c r="C165" s="11">
        <v>0</v>
      </c>
      <c r="D165" s="11">
        <f t="shared" si="6"/>
        <v>120</v>
      </c>
      <c r="E165" s="11">
        <f t="shared" si="7"/>
        <v>1</v>
      </c>
      <c r="F165" s="11">
        <f t="shared" si="5"/>
        <v>321300000</v>
      </c>
      <c r="G165" s="11" t="s">
        <v>789</v>
      </c>
    </row>
    <row r="166" spans="1:7" x14ac:dyDescent="0.25">
      <c r="A166" s="11" t="s">
        <v>788</v>
      </c>
      <c r="B166" s="3">
        <v>2500000</v>
      </c>
      <c r="C166" s="11">
        <v>7</v>
      </c>
      <c r="D166" s="11">
        <f t="shared" si="6"/>
        <v>120</v>
      </c>
      <c r="E166" s="11">
        <f t="shared" si="7"/>
        <v>1</v>
      </c>
      <c r="F166" s="11">
        <f t="shared" si="5"/>
        <v>297500000</v>
      </c>
      <c r="G166" s="11" t="s">
        <v>790</v>
      </c>
    </row>
    <row r="167" spans="1:7" x14ac:dyDescent="0.25">
      <c r="A167" s="11" t="s">
        <v>803</v>
      </c>
      <c r="B167" s="3">
        <v>-200000</v>
      </c>
      <c r="C167" s="11">
        <v>2</v>
      </c>
      <c r="D167" s="11">
        <f t="shared" si="6"/>
        <v>113</v>
      </c>
      <c r="E167" s="11">
        <f t="shared" si="7"/>
        <v>0</v>
      </c>
      <c r="F167" s="11">
        <f t="shared" si="5"/>
        <v>-22600000</v>
      </c>
      <c r="G167" s="11" t="s">
        <v>503</v>
      </c>
    </row>
    <row r="168" spans="1:7" x14ac:dyDescent="0.25">
      <c r="A168" s="11" t="s">
        <v>805</v>
      </c>
      <c r="B168" s="3">
        <v>-200000</v>
      </c>
      <c r="C168" s="11">
        <v>6</v>
      </c>
      <c r="D168" s="11">
        <f t="shared" si="6"/>
        <v>111</v>
      </c>
      <c r="E168" s="11">
        <f t="shared" si="7"/>
        <v>0</v>
      </c>
      <c r="F168" s="11">
        <f t="shared" si="5"/>
        <v>-22200000</v>
      </c>
      <c r="G168" s="11" t="s">
        <v>503</v>
      </c>
    </row>
    <row r="169" spans="1:7" x14ac:dyDescent="0.25">
      <c r="A169" s="11" t="s">
        <v>807</v>
      </c>
      <c r="B169" s="3">
        <v>-200000</v>
      </c>
      <c r="C169" s="11">
        <v>3</v>
      </c>
      <c r="D169" s="11">
        <f t="shared" si="6"/>
        <v>105</v>
      </c>
      <c r="E169" s="11">
        <f t="shared" si="7"/>
        <v>0</v>
      </c>
      <c r="F169" s="11">
        <f t="shared" si="5"/>
        <v>-21000000</v>
      </c>
      <c r="G169" s="11" t="s">
        <v>503</v>
      </c>
    </row>
    <row r="170" spans="1:7" x14ac:dyDescent="0.25">
      <c r="A170" s="11" t="s">
        <v>812</v>
      </c>
      <c r="B170" s="3">
        <v>-200000</v>
      </c>
      <c r="C170" s="11">
        <v>0</v>
      </c>
      <c r="D170" s="11">
        <f t="shared" si="6"/>
        <v>102</v>
      </c>
      <c r="E170" s="11">
        <f t="shared" si="7"/>
        <v>0</v>
      </c>
      <c r="F170" s="11">
        <f t="shared" si="5"/>
        <v>-20400000</v>
      </c>
      <c r="G170" s="11" t="s">
        <v>503</v>
      </c>
    </row>
    <row r="171" spans="1:7" x14ac:dyDescent="0.25">
      <c r="A171" s="11" t="s">
        <v>812</v>
      </c>
      <c r="B171" s="3">
        <v>3000000</v>
      </c>
      <c r="C171" s="11">
        <v>3</v>
      </c>
      <c r="D171" s="11">
        <f t="shared" si="6"/>
        <v>102</v>
      </c>
      <c r="E171" s="11">
        <f t="shared" si="7"/>
        <v>1</v>
      </c>
      <c r="F171" s="11">
        <f t="shared" si="5"/>
        <v>303000000</v>
      </c>
      <c r="G171" s="11" t="s">
        <v>813</v>
      </c>
    </row>
    <row r="172" spans="1:7" x14ac:dyDescent="0.25">
      <c r="A172" s="11" t="s">
        <v>815</v>
      </c>
      <c r="B172" s="3">
        <v>-200000</v>
      </c>
      <c r="C172" s="11">
        <v>1</v>
      </c>
      <c r="D172" s="11">
        <f t="shared" si="6"/>
        <v>99</v>
      </c>
      <c r="E172" s="11">
        <f t="shared" si="7"/>
        <v>0</v>
      </c>
      <c r="F172" s="11">
        <f t="shared" si="5"/>
        <v>-19800000</v>
      </c>
      <c r="G172" s="11" t="s">
        <v>158</v>
      </c>
    </row>
    <row r="173" spans="1:7" x14ac:dyDescent="0.25">
      <c r="A173" s="11" t="s">
        <v>815</v>
      </c>
      <c r="B173" s="3">
        <v>3000000</v>
      </c>
      <c r="C173" s="11">
        <v>1</v>
      </c>
      <c r="D173" s="11">
        <f t="shared" si="6"/>
        <v>98</v>
      </c>
      <c r="E173" s="11">
        <f t="shared" si="7"/>
        <v>1</v>
      </c>
      <c r="F173" s="11">
        <f t="shared" si="5"/>
        <v>291000000</v>
      </c>
      <c r="G173" s="11" t="s">
        <v>818</v>
      </c>
    </row>
    <row r="174" spans="1:7" x14ac:dyDescent="0.25">
      <c r="A174" s="11" t="s">
        <v>816</v>
      </c>
      <c r="B174" s="3">
        <v>2000000</v>
      </c>
      <c r="C174" s="11">
        <v>1</v>
      </c>
      <c r="D174" s="11">
        <f t="shared" si="6"/>
        <v>97</v>
      </c>
      <c r="E174" s="11">
        <f t="shared" si="7"/>
        <v>1</v>
      </c>
      <c r="F174" s="11">
        <f t="shared" si="5"/>
        <v>192000000</v>
      </c>
      <c r="G174" s="11" t="s">
        <v>819</v>
      </c>
    </row>
    <row r="175" spans="1:7" x14ac:dyDescent="0.25">
      <c r="A175" s="11" t="s">
        <v>816</v>
      </c>
      <c r="B175" s="3">
        <v>1300000</v>
      </c>
      <c r="C175" s="11">
        <v>2</v>
      </c>
      <c r="D175" s="11">
        <f t="shared" si="6"/>
        <v>96</v>
      </c>
      <c r="E175" s="11">
        <f t="shared" si="7"/>
        <v>1</v>
      </c>
      <c r="F175" s="11">
        <f t="shared" si="5"/>
        <v>123500000</v>
      </c>
      <c r="G175" s="11" t="s">
        <v>820</v>
      </c>
    </row>
    <row r="176" spans="1:7" x14ac:dyDescent="0.25">
      <c r="A176" s="11" t="s">
        <v>824</v>
      </c>
      <c r="B176" s="3">
        <v>-200000</v>
      </c>
      <c r="C176" s="11">
        <v>0</v>
      </c>
      <c r="D176" s="11">
        <f t="shared" si="6"/>
        <v>94</v>
      </c>
      <c r="E176" s="11">
        <f t="shared" si="7"/>
        <v>0</v>
      </c>
      <c r="F176" s="11">
        <f t="shared" si="5"/>
        <v>-18800000</v>
      </c>
      <c r="G176" s="11" t="s">
        <v>770</v>
      </c>
    </row>
    <row r="177" spans="1:7" x14ac:dyDescent="0.25">
      <c r="A177" s="11" t="s">
        <v>824</v>
      </c>
      <c r="B177" s="3">
        <v>1700000</v>
      </c>
      <c r="C177" s="11">
        <v>1</v>
      </c>
      <c r="D177" s="11">
        <f t="shared" si="6"/>
        <v>94</v>
      </c>
      <c r="E177" s="11">
        <f t="shared" si="7"/>
        <v>1</v>
      </c>
      <c r="F177" s="11">
        <f t="shared" si="5"/>
        <v>158100000</v>
      </c>
      <c r="G177" s="11" t="s">
        <v>825</v>
      </c>
    </row>
    <row r="178" spans="1:7" x14ac:dyDescent="0.25">
      <c r="A178" s="11" t="s">
        <v>826</v>
      </c>
      <c r="B178" s="3">
        <v>-200000</v>
      </c>
      <c r="C178" s="11">
        <v>1</v>
      </c>
      <c r="D178" s="11">
        <f t="shared" si="6"/>
        <v>93</v>
      </c>
      <c r="E178" s="11">
        <f t="shared" si="7"/>
        <v>0</v>
      </c>
      <c r="F178" s="11">
        <f t="shared" si="5"/>
        <v>-18600000</v>
      </c>
      <c r="G178" s="11" t="s">
        <v>503</v>
      </c>
    </row>
    <row r="179" spans="1:7" x14ac:dyDescent="0.25">
      <c r="A179" s="11" t="s">
        <v>829</v>
      </c>
      <c r="B179" s="3">
        <v>571492</v>
      </c>
      <c r="C179" s="11">
        <v>3</v>
      </c>
      <c r="D179" s="11">
        <f t="shared" si="6"/>
        <v>92</v>
      </c>
      <c r="E179" s="11">
        <f t="shared" si="7"/>
        <v>1</v>
      </c>
      <c r="F179" s="11">
        <f t="shared" si="5"/>
        <v>52005772</v>
      </c>
      <c r="G179" s="11" t="s">
        <v>242</v>
      </c>
    </row>
    <row r="180" spans="1:7" x14ac:dyDescent="0.25">
      <c r="A180" s="11" t="s">
        <v>834</v>
      </c>
      <c r="B180" s="3">
        <v>3000000</v>
      </c>
      <c r="C180" s="11">
        <v>7</v>
      </c>
      <c r="D180" s="11">
        <f t="shared" si="6"/>
        <v>89</v>
      </c>
      <c r="E180" s="11">
        <f t="shared" si="7"/>
        <v>1</v>
      </c>
      <c r="F180" s="11">
        <f t="shared" si="5"/>
        <v>264000000</v>
      </c>
      <c r="G180" s="11" t="s">
        <v>838</v>
      </c>
    </row>
    <row r="181" spans="1:7" x14ac:dyDescent="0.25">
      <c r="A181" s="11" t="s">
        <v>847</v>
      </c>
      <c r="B181" s="3">
        <v>2000000</v>
      </c>
      <c r="C181" s="11">
        <v>8</v>
      </c>
      <c r="D181" s="11">
        <f t="shared" si="6"/>
        <v>82</v>
      </c>
      <c r="E181" s="11">
        <f t="shared" si="7"/>
        <v>1</v>
      </c>
      <c r="F181" s="11">
        <f t="shared" si="5"/>
        <v>162000000</v>
      </c>
      <c r="G181" s="11" t="s">
        <v>848</v>
      </c>
    </row>
    <row r="182" spans="1:7" x14ac:dyDescent="0.25">
      <c r="A182" s="11" t="s">
        <v>860</v>
      </c>
      <c r="B182" s="3">
        <v>-2200700</v>
      </c>
      <c r="C182" s="11">
        <v>12</v>
      </c>
      <c r="D182" s="11">
        <f t="shared" si="6"/>
        <v>74</v>
      </c>
      <c r="E182" s="11">
        <f t="shared" si="7"/>
        <v>0</v>
      </c>
      <c r="F182" s="11">
        <f t="shared" si="5"/>
        <v>-162851800</v>
      </c>
      <c r="G182" s="11" t="s">
        <v>862</v>
      </c>
    </row>
    <row r="183" spans="1:7" x14ac:dyDescent="0.25">
      <c r="A183" s="11" t="s">
        <v>870</v>
      </c>
      <c r="B183" s="3">
        <v>675087</v>
      </c>
      <c r="C183" s="11">
        <v>30</v>
      </c>
      <c r="D183" s="11">
        <f t="shared" si="6"/>
        <v>62</v>
      </c>
      <c r="E183" s="11">
        <f t="shared" si="7"/>
        <v>1</v>
      </c>
      <c r="F183" s="11">
        <f t="shared" si="5"/>
        <v>41180307</v>
      </c>
      <c r="G183" s="11" t="s">
        <v>264</v>
      </c>
    </row>
    <row r="184" spans="1:7" x14ac:dyDescent="0.25">
      <c r="A184" s="11" t="s">
        <v>908</v>
      </c>
      <c r="B184" s="3">
        <v>677000</v>
      </c>
      <c r="C184" s="11">
        <v>15</v>
      </c>
      <c r="D184" s="11">
        <f t="shared" si="6"/>
        <v>32</v>
      </c>
      <c r="E184" s="11">
        <f t="shared" si="7"/>
        <v>1</v>
      </c>
      <c r="F184" s="11">
        <f t="shared" si="5"/>
        <v>20987000</v>
      </c>
      <c r="G184" s="11" t="s">
        <v>401</v>
      </c>
    </row>
    <row r="185" spans="1:7" x14ac:dyDescent="0.25">
      <c r="A185" s="11" t="s">
        <v>933</v>
      </c>
      <c r="B185" s="3">
        <v>-10000</v>
      </c>
      <c r="C185" s="11">
        <v>5</v>
      </c>
      <c r="D185" s="11">
        <f t="shared" si="6"/>
        <v>17</v>
      </c>
      <c r="E185" s="11">
        <f t="shared" si="7"/>
        <v>0</v>
      </c>
      <c r="F185" s="11">
        <f t="shared" si="5"/>
        <v>-170000</v>
      </c>
      <c r="G185" s="11" t="s">
        <v>939</v>
      </c>
    </row>
    <row r="186" spans="1:7" x14ac:dyDescent="0.25">
      <c r="A186" s="11" t="s">
        <v>952</v>
      </c>
      <c r="B186" s="3">
        <v>-80500000</v>
      </c>
      <c r="C186" s="11">
        <v>5</v>
      </c>
      <c r="D186" s="11">
        <f t="shared" ref="D186:D201" si="8">D187+C186</f>
        <v>12</v>
      </c>
      <c r="E186" s="11">
        <f t="shared" si="7"/>
        <v>0</v>
      </c>
      <c r="F186" s="11">
        <f t="shared" si="5"/>
        <v>-966000000</v>
      </c>
      <c r="G186" s="11" t="s">
        <v>1059</v>
      </c>
    </row>
    <row r="187" spans="1:7" x14ac:dyDescent="0.25">
      <c r="A187" s="11" t="s">
        <v>1058</v>
      </c>
      <c r="B187" s="3">
        <v>-1100000</v>
      </c>
      <c r="C187" s="11">
        <v>0</v>
      </c>
      <c r="D187" s="11">
        <f t="shared" si="8"/>
        <v>7</v>
      </c>
      <c r="E187" s="11">
        <f t="shared" si="7"/>
        <v>0</v>
      </c>
      <c r="F187" s="11">
        <f t="shared" si="5"/>
        <v>-7700000</v>
      </c>
      <c r="G187" s="11" t="s">
        <v>1059</v>
      </c>
    </row>
    <row r="188" spans="1:7" x14ac:dyDescent="0.25">
      <c r="A188" s="11" t="s">
        <v>1058</v>
      </c>
      <c r="B188" s="3">
        <v>3000000</v>
      </c>
      <c r="C188" s="11">
        <v>1</v>
      </c>
      <c r="D188" s="11">
        <f t="shared" si="8"/>
        <v>7</v>
      </c>
      <c r="E188" s="11">
        <f t="shared" si="7"/>
        <v>1</v>
      </c>
      <c r="F188" s="11">
        <f t="shared" si="5"/>
        <v>18000000</v>
      </c>
      <c r="G188" s="11" t="s">
        <v>1070</v>
      </c>
    </row>
    <row r="189" spans="1:7" x14ac:dyDescent="0.25">
      <c r="A189" s="11" t="s">
        <v>1069</v>
      </c>
      <c r="B189" s="3">
        <v>2000000</v>
      </c>
      <c r="C189" s="11">
        <v>0</v>
      </c>
      <c r="D189" s="11">
        <f t="shared" si="8"/>
        <v>6</v>
      </c>
      <c r="E189" s="11">
        <f t="shared" si="7"/>
        <v>1</v>
      </c>
      <c r="F189" s="11">
        <f t="shared" si="5"/>
        <v>10000000</v>
      </c>
      <c r="G189" s="11" t="s">
        <v>1070</v>
      </c>
    </row>
    <row r="190" spans="1:7" x14ac:dyDescent="0.25">
      <c r="A190" s="11" t="s">
        <v>1069</v>
      </c>
      <c r="B190" s="3">
        <v>-5000000</v>
      </c>
      <c r="C190" s="11">
        <v>1</v>
      </c>
      <c r="D190" s="11">
        <f t="shared" si="8"/>
        <v>6</v>
      </c>
      <c r="E190" s="11">
        <f t="shared" si="7"/>
        <v>0</v>
      </c>
      <c r="F190" s="11">
        <f t="shared" si="5"/>
        <v>-30000000</v>
      </c>
      <c r="G190" s="11" t="s">
        <v>1059</v>
      </c>
    </row>
    <row r="191" spans="1:7" x14ac:dyDescent="0.25">
      <c r="A191" s="11" t="s">
        <v>1077</v>
      </c>
      <c r="B191" s="3">
        <v>483248</v>
      </c>
      <c r="C191" s="11">
        <v>4</v>
      </c>
      <c r="D191" s="11">
        <f t="shared" si="8"/>
        <v>5</v>
      </c>
      <c r="E191" s="11">
        <f t="shared" si="7"/>
        <v>1</v>
      </c>
      <c r="F191" s="11">
        <f t="shared" si="5"/>
        <v>1932992</v>
      </c>
      <c r="G191" s="11" t="s">
        <v>1079</v>
      </c>
    </row>
    <row r="192" spans="1:7" x14ac:dyDescent="0.25">
      <c r="A192" s="11" t="s">
        <v>1106</v>
      </c>
      <c r="B192" s="3">
        <v>-115300</v>
      </c>
      <c r="C192" s="11">
        <v>1</v>
      </c>
      <c r="D192" s="11">
        <f t="shared" si="8"/>
        <v>1</v>
      </c>
      <c r="E192" s="11">
        <f t="shared" si="7"/>
        <v>0</v>
      </c>
      <c r="F192" s="11">
        <f t="shared" si="5"/>
        <v>-115300</v>
      </c>
      <c r="G192" s="11" t="s">
        <v>1107</v>
      </c>
    </row>
    <row r="193" spans="1:7" x14ac:dyDescent="0.25">
      <c r="A193" s="11"/>
      <c r="B193" s="3"/>
      <c r="C193" s="11"/>
      <c r="D193" s="11">
        <f t="shared" si="8"/>
        <v>0</v>
      </c>
      <c r="E193" s="11">
        <f t="shared" si="7"/>
        <v>0</v>
      </c>
      <c r="F193" s="11">
        <f t="shared" si="5"/>
        <v>0</v>
      </c>
      <c r="G193" s="11"/>
    </row>
    <row r="194" spans="1:7" x14ac:dyDescent="0.25">
      <c r="A194" s="11" t="s">
        <v>25</v>
      </c>
      <c r="B194" s="3"/>
      <c r="C194" s="11"/>
      <c r="D194" s="11">
        <f t="shared" si="8"/>
        <v>0</v>
      </c>
      <c r="E194" s="11">
        <f t="shared" si="7"/>
        <v>0</v>
      </c>
      <c r="F194" s="11">
        <f t="shared" si="5"/>
        <v>0</v>
      </c>
      <c r="G194" s="11"/>
    </row>
    <row r="195" spans="1:7" x14ac:dyDescent="0.25">
      <c r="A195" s="11"/>
      <c r="B195" s="3"/>
      <c r="C195" s="11"/>
      <c r="D195" s="11">
        <f t="shared" si="8"/>
        <v>0</v>
      </c>
      <c r="E195" s="11">
        <f t="shared" si="7"/>
        <v>0</v>
      </c>
      <c r="F195" s="11">
        <f t="shared" si="5"/>
        <v>0</v>
      </c>
      <c r="G195" s="11"/>
    </row>
    <row r="196" spans="1:7" x14ac:dyDescent="0.25">
      <c r="A196" s="11"/>
      <c r="B196" s="3"/>
      <c r="C196" s="11"/>
      <c r="D196" s="11">
        <f t="shared" si="8"/>
        <v>0</v>
      </c>
      <c r="E196" s="11">
        <f t="shared" si="7"/>
        <v>0</v>
      </c>
      <c r="F196" s="11">
        <f t="shared" si="5"/>
        <v>0</v>
      </c>
      <c r="G196" s="11"/>
    </row>
    <row r="197" spans="1:7" x14ac:dyDescent="0.25">
      <c r="A197" s="11"/>
      <c r="B197" s="3"/>
      <c r="C197" s="11"/>
      <c r="D197" s="11">
        <f t="shared" si="8"/>
        <v>0</v>
      </c>
      <c r="E197" s="11">
        <f t="shared" si="7"/>
        <v>0</v>
      </c>
      <c r="F197" s="11">
        <f t="shared" si="5"/>
        <v>0</v>
      </c>
      <c r="G197" s="11"/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1984347</v>
      </c>
      <c r="C202" s="11"/>
      <c r="D202" s="11"/>
      <c r="E202" s="11"/>
      <c r="F202" s="29">
        <f>SUM(F2:F200)</f>
        <v>18262924583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27587499.370090634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zoomScaleNormal="100" workbookViewId="0">
      <selection activeCell="G24" sqref="G24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3" x14ac:dyDescent="0.25">
      <c r="A1" s="11" t="s">
        <v>449</v>
      </c>
      <c r="B1" s="11" t="s">
        <v>447</v>
      </c>
      <c r="C1" s="11" t="s">
        <v>715</v>
      </c>
      <c r="D1" s="11" t="s">
        <v>448</v>
      </c>
      <c r="E1" s="11" t="s">
        <v>548</v>
      </c>
      <c r="F1" s="11" t="s">
        <v>455</v>
      </c>
      <c r="G1" s="11" t="s">
        <v>456</v>
      </c>
      <c r="H1" s="11" t="s">
        <v>8</v>
      </c>
      <c r="K1" s="11" t="s">
        <v>450</v>
      </c>
      <c r="L1" s="11" t="s">
        <v>451</v>
      </c>
      <c r="M1" s="11" t="s">
        <v>955</v>
      </c>
      <c r="N1" s="11" t="s">
        <v>453</v>
      </c>
      <c r="O1" s="11" t="s">
        <v>756</v>
      </c>
      <c r="P1" s="69" t="s">
        <v>8</v>
      </c>
      <c r="S1" s="29" t="s">
        <v>180</v>
      </c>
      <c r="T1" s="29" t="s">
        <v>267</v>
      </c>
      <c r="U1" s="11" t="s">
        <v>183</v>
      </c>
      <c r="V1" s="69" t="s">
        <v>282</v>
      </c>
      <c r="W1" s="69" t="s">
        <v>8</v>
      </c>
    </row>
    <row r="2" spans="1:23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515</v>
      </c>
      <c r="K2" s="11">
        <v>1.01</v>
      </c>
      <c r="L2" s="11">
        <v>1.02</v>
      </c>
      <c r="M2" s="11" t="s">
        <v>301</v>
      </c>
      <c r="N2" s="29">
        <v>91000000</v>
      </c>
      <c r="O2" s="29">
        <v>154000000</v>
      </c>
      <c r="P2" s="11" t="s">
        <v>959</v>
      </c>
      <c r="S2" s="29" t="s">
        <v>725</v>
      </c>
      <c r="T2" s="29">
        <v>30000000</v>
      </c>
      <c r="U2" s="11">
        <v>16</v>
      </c>
      <c r="V2" s="29">
        <f t="shared" ref="V2:V8" si="1">T2*U2</f>
        <v>480000000</v>
      </c>
      <c r="W2" s="11" t="s">
        <v>762</v>
      </c>
    </row>
    <row r="3" spans="1:23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519</v>
      </c>
      <c r="M3" s="11" t="s">
        <v>716</v>
      </c>
      <c r="N3" s="29">
        <v>46000000</v>
      </c>
      <c r="O3" s="29">
        <v>40000000</v>
      </c>
      <c r="P3" s="11" t="s">
        <v>957</v>
      </c>
      <c r="S3" s="29" t="s">
        <v>761</v>
      </c>
      <c r="T3" s="29">
        <v>6000000</v>
      </c>
      <c r="U3" s="11">
        <v>25</v>
      </c>
      <c r="V3" s="29">
        <f t="shared" si="1"/>
        <v>150000000</v>
      </c>
      <c r="W3" s="11" t="s">
        <v>763</v>
      </c>
    </row>
    <row r="4" spans="1:23" x14ac:dyDescent="0.25">
      <c r="A4" s="23">
        <v>96</v>
      </c>
      <c r="B4" s="11">
        <v>2</v>
      </c>
      <c r="C4" s="44">
        <f t="shared" ref="C4:C35" si="2">C3*$K$2</f>
        <v>3030000</v>
      </c>
      <c r="D4" s="3">
        <f>D3*$K$2</f>
        <v>2525000</v>
      </c>
      <c r="E4" s="3">
        <f t="shared" ref="E4:E34" si="3">E3*$L$2+C4-D4</f>
        <v>55115800</v>
      </c>
      <c r="F4" s="45">
        <v>56000000</v>
      </c>
      <c r="G4" s="29">
        <f t="shared" si="0"/>
        <v>-884200</v>
      </c>
      <c r="H4" s="11" t="s">
        <v>547</v>
      </c>
      <c r="M4" s="11" t="s">
        <v>302</v>
      </c>
      <c r="N4" s="29">
        <v>0</v>
      </c>
      <c r="O4" s="29"/>
      <c r="P4" s="11"/>
      <c r="S4" s="29" t="s">
        <v>788</v>
      </c>
      <c r="T4" s="29">
        <v>3500000</v>
      </c>
      <c r="U4" s="11">
        <v>19</v>
      </c>
      <c r="V4" s="29">
        <f t="shared" si="1"/>
        <v>66500000</v>
      </c>
      <c r="W4" s="11" t="s">
        <v>791</v>
      </c>
    </row>
    <row r="5" spans="1:23" x14ac:dyDescent="0.25">
      <c r="A5" s="23">
        <v>96</v>
      </c>
      <c r="B5" s="11">
        <v>3</v>
      </c>
      <c r="C5" s="44">
        <f t="shared" si="2"/>
        <v>3060300</v>
      </c>
      <c r="D5" s="3">
        <f t="shared" ref="D5:D35" si="4">D4*$K$2</f>
        <v>2550250</v>
      </c>
      <c r="E5" s="3">
        <f t="shared" si="3"/>
        <v>56728166</v>
      </c>
      <c r="F5" s="45">
        <v>58000000</v>
      </c>
      <c r="G5" s="29">
        <f t="shared" si="0"/>
        <v>-1271834</v>
      </c>
      <c r="H5" s="11" t="s">
        <v>591</v>
      </c>
      <c r="M5" s="11" t="s">
        <v>717</v>
      </c>
      <c r="N5" s="29">
        <v>27000000</v>
      </c>
      <c r="O5" s="29">
        <v>41000000</v>
      </c>
      <c r="P5" s="11" t="s">
        <v>717</v>
      </c>
      <c r="S5" s="29" t="s">
        <v>814</v>
      </c>
      <c r="T5" s="29">
        <v>500000</v>
      </c>
      <c r="U5" s="11">
        <v>3</v>
      </c>
      <c r="V5" s="29">
        <f t="shared" si="1"/>
        <v>1500000</v>
      </c>
      <c r="W5" s="11" t="s">
        <v>817</v>
      </c>
    </row>
    <row r="6" spans="1:23" x14ac:dyDescent="0.25">
      <c r="A6" s="23">
        <v>96</v>
      </c>
      <c r="B6" s="11">
        <v>4</v>
      </c>
      <c r="C6" s="49">
        <f t="shared" si="2"/>
        <v>3090903</v>
      </c>
      <c r="D6" s="3">
        <f t="shared" si="4"/>
        <v>2575752.5</v>
      </c>
      <c r="E6" s="3">
        <f t="shared" si="3"/>
        <v>58377879.82</v>
      </c>
      <c r="F6" s="66">
        <v>60000000</v>
      </c>
      <c r="G6" s="29">
        <f t="shared" si="0"/>
        <v>-1622120.1799999997</v>
      </c>
      <c r="H6" s="11" t="s">
        <v>627</v>
      </c>
      <c r="M6" s="11" t="s">
        <v>304</v>
      </c>
      <c r="N6" s="29">
        <v>-37600000</v>
      </c>
      <c r="O6" s="29">
        <v>-25000000</v>
      </c>
      <c r="P6" s="11" t="s">
        <v>958</v>
      </c>
      <c r="S6" s="29" t="s">
        <v>816</v>
      </c>
      <c r="T6" s="29">
        <v>-2500000</v>
      </c>
      <c r="U6" s="11">
        <v>1</v>
      </c>
      <c r="V6" s="29">
        <f t="shared" si="1"/>
        <v>-2500000</v>
      </c>
      <c r="W6" s="11" t="s">
        <v>821</v>
      </c>
    </row>
    <row r="7" spans="1:23" x14ac:dyDescent="0.25">
      <c r="A7" s="23">
        <v>96</v>
      </c>
      <c r="B7" s="11">
        <v>5</v>
      </c>
      <c r="C7" s="49">
        <f t="shared" si="2"/>
        <v>3121812.03</v>
      </c>
      <c r="D7" s="3">
        <f t="shared" si="4"/>
        <v>2601510.0249999999</v>
      </c>
      <c r="E7" s="3">
        <f t="shared" si="3"/>
        <v>60065739.421400003</v>
      </c>
      <c r="F7" s="66">
        <v>56000000</v>
      </c>
      <c r="G7" s="29">
        <f t="shared" si="0"/>
        <v>4065739.4214000031</v>
      </c>
      <c r="H7" s="11" t="s">
        <v>722</v>
      </c>
      <c r="M7" s="11" t="s">
        <v>718</v>
      </c>
      <c r="N7" s="29">
        <v>57000000</v>
      </c>
      <c r="O7" s="29"/>
      <c r="P7" s="11"/>
      <c r="S7" s="29" t="s">
        <v>822</v>
      </c>
      <c r="T7" s="29">
        <v>-5800000</v>
      </c>
      <c r="U7" s="11">
        <v>2</v>
      </c>
      <c r="V7" s="29">
        <f t="shared" si="1"/>
        <v>-11600000</v>
      </c>
      <c r="W7" s="11" t="s">
        <v>823</v>
      </c>
    </row>
    <row r="8" spans="1:23" x14ac:dyDescent="0.25">
      <c r="A8" s="23">
        <v>96</v>
      </c>
      <c r="B8" s="11">
        <v>6</v>
      </c>
      <c r="C8" s="49">
        <f t="shared" si="2"/>
        <v>3153030.1502999999</v>
      </c>
      <c r="D8" s="3">
        <f t="shared" si="4"/>
        <v>2627525.12525</v>
      </c>
      <c r="E8" s="3">
        <f t="shared" si="3"/>
        <v>61792559.234878004</v>
      </c>
      <c r="F8" s="66">
        <v>58000000</v>
      </c>
      <c r="G8" s="29">
        <f t="shared" si="0"/>
        <v>3792559.2348780036</v>
      </c>
      <c r="H8" s="11" t="s">
        <v>709</v>
      </c>
      <c r="M8" s="11" t="s">
        <v>956</v>
      </c>
      <c r="N8" s="29">
        <v>10000000</v>
      </c>
      <c r="O8" s="29"/>
      <c r="P8" s="11"/>
      <c r="S8" s="29" t="s">
        <v>826</v>
      </c>
      <c r="T8" s="29">
        <v>-7500000</v>
      </c>
      <c r="U8" s="11">
        <v>4</v>
      </c>
      <c r="V8" s="29">
        <f t="shared" si="1"/>
        <v>-30000000</v>
      </c>
      <c r="W8" s="11" t="s">
        <v>827</v>
      </c>
    </row>
    <row r="9" spans="1:23" x14ac:dyDescent="0.25">
      <c r="A9" s="23">
        <v>96</v>
      </c>
      <c r="B9" s="11">
        <v>7</v>
      </c>
      <c r="C9" s="50">
        <f t="shared" si="2"/>
        <v>3184560.4518029997</v>
      </c>
      <c r="D9" s="3">
        <f t="shared" si="4"/>
        <v>2653800.3765024999</v>
      </c>
      <c r="E9" s="3">
        <f t="shared" si="3"/>
        <v>63559170.494876064</v>
      </c>
      <c r="F9" s="66">
        <v>63665000</v>
      </c>
      <c r="G9" s="29">
        <f t="shared" si="0"/>
        <v>-105829.50512393564</v>
      </c>
      <c r="H9" s="11" t="s">
        <v>737</v>
      </c>
      <c r="M9" s="11" t="s">
        <v>25</v>
      </c>
      <c r="N9" s="29"/>
      <c r="O9" s="29"/>
      <c r="P9" s="11"/>
      <c r="S9" s="29" t="s">
        <v>834</v>
      </c>
      <c r="T9" s="29">
        <v>-8500000</v>
      </c>
      <c r="U9" s="11">
        <v>7</v>
      </c>
      <c r="V9" s="29">
        <f>T9*U9</f>
        <v>-59500000</v>
      </c>
      <c r="W9" s="11" t="s">
        <v>836</v>
      </c>
    </row>
    <row r="10" spans="1:23" x14ac:dyDescent="0.25">
      <c r="A10" s="23">
        <v>96</v>
      </c>
      <c r="B10" s="11">
        <v>8</v>
      </c>
      <c r="C10" s="50">
        <f t="shared" si="2"/>
        <v>3216406.0563210296</v>
      </c>
      <c r="D10" s="3">
        <f t="shared" si="4"/>
        <v>2680338.3802675251</v>
      </c>
      <c r="E10" s="3">
        <f t="shared" si="3"/>
        <v>65366421.580827095</v>
      </c>
      <c r="F10" s="45">
        <v>66250000</v>
      </c>
      <c r="G10" s="29">
        <f t="shared" si="0"/>
        <v>-883578.41917290539</v>
      </c>
      <c r="H10" s="11" t="s">
        <v>787</v>
      </c>
      <c r="M10" s="11" t="s">
        <v>720</v>
      </c>
      <c r="N10" s="29">
        <f>SUM(N2:N6)</f>
        <v>126400000</v>
      </c>
      <c r="O10" s="29"/>
      <c r="P10" s="11"/>
      <c r="S10" s="29" t="s">
        <v>847</v>
      </c>
      <c r="T10" s="29">
        <v>-10500000</v>
      </c>
      <c r="U10" s="11">
        <v>20</v>
      </c>
      <c r="V10" s="29">
        <f t="shared" ref="V10:V14" si="5">T10*U10</f>
        <v>-210000000</v>
      </c>
      <c r="W10" s="11" t="s">
        <v>849</v>
      </c>
    </row>
    <row r="11" spans="1:23" ht="21.75" customHeight="1" x14ac:dyDescent="0.25">
      <c r="A11" s="23">
        <v>96</v>
      </c>
      <c r="B11" s="11">
        <v>9</v>
      </c>
      <c r="C11" s="50">
        <f t="shared" si="2"/>
        <v>3248570.1168842399</v>
      </c>
      <c r="D11" s="3">
        <f t="shared" si="4"/>
        <v>2707141.7640702003</v>
      </c>
      <c r="E11" s="3">
        <f t="shared" si="3"/>
        <v>67215178.36525768</v>
      </c>
      <c r="F11" s="45">
        <v>68665000</v>
      </c>
      <c r="G11" s="29">
        <f t="shared" si="0"/>
        <v>-1449821.6347423196</v>
      </c>
      <c r="H11" s="11" t="s">
        <v>833</v>
      </c>
      <c r="M11" s="11" t="s">
        <v>721</v>
      </c>
      <c r="N11" s="29">
        <f>SUM(N2:N9)</f>
        <v>193400000</v>
      </c>
      <c r="O11" s="29">
        <f>SUM(O2:O9)</f>
        <v>210000000</v>
      </c>
      <c r="P11" s="11"/>
      <c r="S11" s="29" t="s">
        <v>870</v>
      </c>
      <c r="T11" s="29">
        <v>-7500000</v>
      </c>
      <c r="U11" s="11">
        <v>30</v>
      </c>
      <c r="V11" s="29">
        <f t="shared" si="5"/>
        <v>-225000000</v>
      </c>
      <c r="W11" s="75" t="s">
        <v>871</v>
      </c>
    </row>
    <row r="12" spans="1:23" x14ac:dyDescent="0.25">
      <c r="A12" s="23">
        <v>96</v>
      </c>
      <c r="B12" s="11">
        <v>10</v>
      </c>
      <c r="C12" s="3">
        <f t="shared" si="2"/>
        <v>3281055.8180530826</v>
      </c>
      <c r="D12" s="3">
        <f t="shared" si="4"/>
        <v>2734213.1817109021</v>
      </c>
      <c r="E12" s="3">
        <f t="shared" si="3"/>
        <v>69106324.568905011</v>
      </c>
      <c r="F12" s="45">
        <v>71000000</v>
      </c>
      <c r="G12" s="29">
        <f t="shared" si="0"/>
        <v>-1893675.4310949892</v>
      </c>
      <c r="H12" s="11" t="s">
        <v>878</v>
      </c>
      <c r="S12" s="29" t="s">
        <v>908</v>
      </c>
      <c r="T12" s="29">
        <v>-4500000</v>
      </c>
      <c r="U12" s="11">
        <v>21</v>
      </c>
      <c r="V12" s="29">
        <f t="shared" si="5"/>
        <v>-94500000</v>
      </c>
      <c r="W12" s="11" t="s">
        <v>949</v>
      </c>
    </row>
    <row r="13" spans="1:23" x14ac:dyDescent="0.25">
      <c r="A13" s="23">
        <v>96</v>
      </c>
      <c r="B13" s="11">
        <v>11</v>
      </c>
      <c r="C13" s="3">
        <f t="shared" si="2"/>
        <v>3313866.3762336136</v>
      </c>
      <c r="D13" s="3">
        <f t="shared" si="4"/>
        <v>2761555.3135280111</v>
      </c>
      <c r="E13" s="3">
        <f t="shared" si="3"/>
        <v>71040762.122988701</v>
      </c>
      <c r="F13" s="45">
        <v>73900000</v>
      </c>
      <c r="G13" s="29">
        <f t="shared" si="0"/>
        <v>-2859237.8770112991</v>
      </c>
      <c r="H13" s="11" t="s">
        <v>916</v>
      </c>
      <c r="O13" t="s">
        <v>25</v>
      </c>
      <c r="S13" s="29" t="s">
        <v>941</v>
      </c>
      <c r="T13" s="29">
        <v>-3500000</v>
      </c>
      <c r="U13" s="11">
        <v>5</v>
      </c>
      <c r="V13" s="29">
        <f t="shared" si="5"/>
        <v>-17500000</v>
      </c>
      <c r="W13" s="11" t="s">
        <v>950</v>
      </c>
    </row>
    <row r="14" spans="1:23" x14ac:dyDescent="0.25">
      <c r="A14" s="23">
        <v>96</v>
      </c>
      <c r="B14" s="11">
        <v>12</v>
      </c>
      <c r="C14" s="3">
        <f t="shared" si="2"/>
        <v>3347005.0399959497</v>
      </c>
      <c r="D14" s="3">
        <f t="shared" si="4"/>
        <v>2789170.8666632911</v>
      </c>
      <c r="E14" s="46">
        <f t="shared" si="3"/>
        <v>73019411.538781136</v>
      </c>
      <c r="F14" s="45">
        <v>91400000</v>
      </c>
      <c r="G14" s="29">
        <f t="shared" si="0"/>
        <v>-18380588.461218864</v>
      </c>
      <c r="H14" s="11" t="s">
        <v>1108</v>
      </c>
      <c r="L14" s="25"/>
      <c r="O14" s="25"/>
      <c r="R14" s="25"/>
      <c r="S14" s="29" t="s">
        <v>960</v>
      </c>
      <c r="T14" s="29">
        <v>-500000</v>
      </c>
      <c r="U14" s="11">
        <v>100</v>
      </c>
      <c r="V14" s="29">
        <f t="shared" si="5"/>
        <v>-50000000</v>
      </c>
      <c r="W14" s="11" t="s">
        <v>1052</v>
      </c>
    </row>
    <row r="15" spans="1:23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93000000</v>
      </c>
      <c r="F15" s="3">
        <f>L27</f>
        <v>91646141.25</v>
      </c>
      <c r="G15" s="29">
        <f t="shared" si="0"/>
        <v>1353858.75</v>
      </c>
      <c r="H15" s="11"/>
      <c r="K15" s="2" t="s">
        <v>452</v>
      </c>
      <c r="L15" s="2" t="s">
        <v>453</v>
      </c>
      <c r="M15" s="11"/>
      <c r="N15" s="11" t="s">
        <v>756</v>
      </c>
      <c r="R15" s="25"/>
      <c r="S15" s="29"/>
      <c r="T15" s="29"/>
      <c r="U15" s="11"/>
      <c r="V15" s="29"/>
      <c r="W15" s="11"/>
    </row>
    <row r="16" spans="1:23" x14ac:dyDescent="0.25">
      <c r="A16" s="60">
        <v>97</v>
      </c>
      <c r="B16" s="11">
        <v>14</v>
      </c>
      <c r="C16" s="44">
        <f>C15*$K$2</f>
        <v>3686500</v>
      </c>
      <c r="D16" s="3">
        <f t="shared" si="4"/>
        <v>2994650</v>
      </c>
      <c r="E16" s="3">
        <f>E15*$L$2+C16-D16</f>
        <v>95551850</v>
      </c>
      <c r="F16" s="3"/>
      <c r="G16" s="29"/>
      <c r="H16" s="11"/>
      <c r="K16" s="19" t="s">
        <v>300</v>
      </c>
      <c r="L16" s="43">
        <f>'مسکن ایلیا'!B202</f>
        <v>1984347</v>
      </c>
      <c r="M16" s="11" t="s">
        <v>757</v>
      </c>
      <c r="N16" s="29">
        <f>'مسکن مریم یاران'!B127</f>
        <v>7727461</v>
      </c>
      <c r="P16" s="28"/>
      <c r="Q16" s="25"/>
      <c r="R16" s="25"/>
      <c r="S16" s="29" t="s">
        <v>25</v>
      </c>
      <c r="T16" s="29"/>
      <c r="U16" s="11"/>
      <c r="V16" s="29"/>
      <c r="W16" s="11"/>
    </row>
    <row r="17" spans="1:23" x14ac:dyDescent="0.25">
      <c r="A17" s="60">
        <v>97</v>
      </c>
      <c r="B17" s="11">
        <v>15</v>
      </c>
      <c r="C17" s="44">
        <f t="shared" si="2"/>
        <v>3723365</v>
      </c>
      <c r="D17" s="3">
        <f t="shared" si="4"/>
        <v>3024596.5</v>
      </c>
      <c r="E17" s="3">
        <f t="shared" si="3"/>
        <v>98161655.5</v>
      </c>
      <c r="F17" s="3"/>
      <c r="G17" s="29"/>
      <c r="H17" s="11"/>
      <c r="K17" s="2" t="s">
        <v>454</v>
      </c>
      <c r="L17" s="43">
        <f>'مسکن علی سید الشهدا'!B70</f>
        <v>104951</v>
      </c>
      <c r="M17" s="11" t="s">
        <v>658</v>
      </c>
      <c r="N17" s="29">
        <f>سارا!D156</f>
        <v>858739</v>
      </c>
      <c r="P17" s="28"/>
      <c r="Q17" s="25"/>
      <c r="R17" s="25"/>
      <c r="S17" s="29"/>
      <c r="T17" s="29"/>
      <c r="U17" s="11"/>
      <c r="V17" s="29"/>
      <c r="W17" s="11"/>
    </row>
    <row r="18" spans="1:23" x14ac:dyDescent="0.25">
      <c r="A18" s="60">
        <v>97</v>
      </c>
      <c r="B18" s="11">
        <v>16</v>
      </c>
      <c r="C18" s="49">
        <f t="shared" si="2"/>
        <v>3760598.65</v>
      </c>
      <c r="D18" s="3">
        <f t="shared" si="4"/>
        <v>3054842.4649999999</v>
      </c>
      <c r="E18" s="3">
        <f t="shared" si="3"/>
        <v>100830644.795</v>
      </c>
      <c r="F18" s="3"/>
      <c r="G18" s="29"/>
      <c r="H18" s="11"/>
      <c r="K18" s="2" t="s">
        <v>684</v>
      </c>
      <c r="L18" s="43">
        <v>1000000</v>
      </c>
      <c r="M18" s="11" t="s">
        <v>758</v>
      </c>
      <c r="N18" s="29">
        <v>30000000</v>
      </c>
      <c r="S18" s="11"/>
      <c r="T18" s="29"/>
      <c r="U18" s="29"/>
      <c r="V18" s="29">
        <f>SUM(V2:V17)</f>
        <v>-2600000</v>
      </c>
      <c r="W18" s="11"/>
    </row>
    <row r="19" spans="1:23" x14ac:dyDescent="0.25">
      <c r="A19" s="60">
        <v>97</v>
      </c>
      <c r="B19" s="11">
        <v>17</v>
      </c>
      <c r="C19" s="49">
        <f t="shared" si="2"/>
        <v>3798204.6365</v>
      </c>
      <c r="D19" s="3">
        <f t="shared" si="4"/>
        <v>3085390.8896499998</v>
      </c>
      <c r="E19" s="3">
        <f t="shared" si="3"/>
        <v>103560071.43775</v>
      </c>
      <c r="F19" s="3"/>
      <c r="G19" s="29"/>
      <c r="H19" s="11"/>
      <c r="K19" s="2" t="s">
        <v>85</v>
      </c>
      <c r="L19" s="43">
        <v>-7300000</v>
      </c>
      <c r="M19" s="11" t="s">
        <v>765</v>
      </c>
      <c r="N19" s="29">
        <v>4500000</v>
      </c>
      <c r="S19" s="11"/>
      <c r="T19" s="11" t="s">
        <v>25</v>
      </c>
      <c r="U19" s="11"/>
      <c r="V19" s="69" t="s">
        <v>6</v>
      </c>
      <c r="W19" s="29"/>
    </row>
    <row r="20" spans="1:23" x14ac:dyDescent="0.25">
      <c r="A20" s="60">
        <v>97</v>
      </c>
      <c r="B20" s="11">
        <v>18</v>
      </c>
      <c r="C20" s="49">
        <f t="shared" si="2"/>
        <v>3836186.6828649999</v>
      </c>
      <c r="D20" s="3">
        <f t="shared" si="4"/>
        <v>3116244.7985465</v>
      </c>
      <c r="E20" s="3">
        <f t="shared" si="3"/>
        <v>106351214.7508235</v>
      </c>
      <c r="F20" s="3"/>
      <c r="G20" s="29"/>
      <c r="H20" s="11"/>
      <c r="K20" s="2" t="s">
        <v>457</v>
      </c>
      <c r="L20" s="43">
        <v>529000</v>
      </c>
      <c r="M20" s="11" t="s">
        <v>766</v>
      </c>
      <c r="N20" s="29">
        <v>2000000</v>
      </c>
      <c r="S20" s="11"/>
      <c r="T20" s="11"/>
      <c r="U20" s="11"/>
      <c r="V20" s="29"/>
      <c r="W20" s="11"/>
    </row>
    <row r="21" spans="1:23" x14ac:dyDescent="0.25">
      <c r="A21" s="60">
        <v>97</v>
      </c>
      <c r="B21" s="11">
        <v>19</v>
      </c>
      <c r="C21" s="50">
        <f t="shared" si="2"/>
        <v>3874548.5496936501</v>
      </c>
      <c r="D21" s="3">
        <f t="shared" si="4"/>
        <v>3147407.2465319652</v>
      </c>
      <c r="E21" s="3">
        <f t="shared" si="3"/>
        <v>109205380.34900165</v>
      </c>
      <c r="F21" s="3"/>
      <c r="G21" s="29"/>
      <c r="H21" s="11"/>
      <c r="J21" s="25"/>
      <c r="K21" s="2" t="s">
        <v>736</v>
      </c>
      <c r="L21" s="43">
        <v>0</v>
      </c>
      <c r="M21" s="11" t="s">
        <v>767</v>
      </c>
      <c r="N21" s="29">
        <f>-1*L19</f>
        <v>7300000</v>
      </c>
      <c r="S21" s="29"/>
      <c r="T21" s="11"/>
      <c r="U21" s="11"/>
      <c r="V21" s="11"/>
      <c r="W21" s="11" t="s">
        <v>724</v>
      </c>
    </row>
    <row r="22" spans="1:23" x14ac:dyDescent="0.25">
      <c r="A22" s="60">
        <v>97</v>
      </c>
      <c r="B22" s="11">
        <v>20</v>
      </c>
      <c r="C22" s="50">
        <f t="shared" si="2"/>
        <v>3913294.0351905865</v>
      </c>
      <c r="D22" s="3">
        <f t="shared" si="4"/>
        <v>3178881.3189972849</v>
      </c>
      <c r="E22" s="3">
        <f t="shared" si="3"/>
        <v>112123900.67217499</v>
      </c>
      <c r="F22" s="3"/>
      <c r="G22" s="29"/>
      <c r="H22" s="11"/>
      <c r="J22" s="25"/>
      <c r="K22" s="2" t="s">
        <v>940</v>
      </c>
      <c r="L22" s="43">
        <v>4800000</v>
      </c>
      <c r="M22" s="11" t="s">
        <v>759</v>
      </c>
      <c r="N22" s="29">
        <v>1350000</v>
      </c>
      <c r="P22" t="s">
        <v>25</v>
      </c>
      <c r="S22" s="11"/>
      <c r="T22" s="11"/>
      <c r="U22" s="11"/>
      <c r="V22" s="11"/>
      <c r="W22" s="11" t="s">
        <v>760</v>
      </c>
    </row>
    <row r="23" spans="1:23" x14ac:dyDescent="0.25">
      <c r="A23" s="60">
        <v>97</v>
      </c>
      <c r="B23" s="11">
        <v>21</v>
      </c>
      <c r="C23" s="50">
        <f t="shared" si="2"/>
        <v>3952426.9755424922</v>
      </c>
      <c r="D23" s="3">
        <f t="shared" si="4"/>
        <v>3210670.1321872575</v>
      </c>
      <c r="E23" s="3">
        <f t="shared" si="3"/>
        <v>115108135.52897371</v>
      </c>
      <c r="F23" s="3"/>
      <c r="G23" s="29"/>
      <c r="H23" s="11"/>
      <c r="I23" s="7"/>
      <c r="J23" s="28"/>
      <c r="K23" s="2" t="s">
        <v>953</v>
      </c>
      <c r="L23" s="43">
        <f>'لیست خرید و فروش'!X32</f>
        <v>184423847.25</v>
      </c>
      <c r="M23" s="11" t="s">
        <v>771</v>
      </c>
      <c r="N23" s="29">
        <v>1200000</v>
      </c>
    </row>
    <row r="24" spans="1:23" x14ac:dyDescent="0.25">
      <c r="A24" s="60">
        <v>97</v>
      </c>
      <c r="B24" s="11">
        <v>22</v>
      </c>
      <c r="C24" s="3">
        <f t="shared" si="2"/>
        <v>3991951.2452979172</v>
      </c>
      <c r="D24" s="3">
        <f t="shared" si="4"/>
        <v>3242776.8335091299</v>
      </c>
      <c r="E24" s="3">
        <f t="shared" si="3"/>
        <v>118159472.65134197</v>
      </c>
      <c r="F24" s="3"/>
      <c r="G24" s="11"/>
      <c r="H24" s="11"/>
      <c r="J24" s="55"/>
      <c r="K24" s="11" t="s">
        <v>1049</v>
      </c>
      <c r="L24" s="43">
        <f>-'لیست خرید و فروش'!Z15</f>
        <v>-93896004</v>
      </c>
      <c r="M24" s="11" t="s">
        <v>907</v>
      </c>
      <c r="N24" s="29">
        <v>5500000</v>
      </c>
    </row>
    <row r="25" spans="1:23" x14ac:dyDescent="0.25">
      <c r="A25" s="60">
        <v>97</v>
      </c>
      <c r="B25" s="11">
        <v>23</v>
      </c>
      <c r="C25" s="3">
        <f t="shared" si="2"/>
        <v>4031870.7577508963</v>
      </c>
      <c r="D25" s="3">
        <f t="shared" si="4"/>
        <v>3275204.6018442214</v>
      </c>
      <c r="E25" s="3">
        <f t="shared" si="3"/>
        <v>121279328.2602755</v>
      </c>
      <c r="F25" s="3"/>
      <c r="G25" s="11"/>
      <c r="H25" s="11"/>
      <c r="J25" s="25"/>
      <c r="K25" s="11"/>
      <c r="L25" s="43"/>
      <c r="M25" s="11" t="s">
        <v>1050</v>
      </c>
      <c r="N25" s="29">
        <f>-L24</f>
        <v>93896004</v>
      </c>
    </row>
    <row r="26" spans="1:23" x14ac:dyDescent="0.25">
      <c r="A26" s="60">
        <v>97</v>
      </c>
      <c r="B26" s="11">
        <v>24</v>
      </c>
      <c r="C26" s="3">
        <f t="shared" si="2"/>
        <v>4072189.4653284051</v>
      </c>
      <c r="D26" s="3">
        <f t="shared" si="4"/>
        <v>3307956.6478626635</v>
      </c>
      <c r="E26" s="46">
        <f t="shared" si="3"/>
        <v>124469147.64294676</v>
      </c>
      <c r="F26" s="3"/>
      <c r="G26" s="11"/>
      <c r="H26" s="11"/>
      <c r="J26" s="25"/>
      <c r="K26" s="11"/>
      <c r="L26" s="43"/>
      <c r="M26" s="11"/>
      <c r="N26" s="29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2"/>
        <v>4112911.3599816891</v>
      </c>
      <c r="D27" s="3">
        <f t="shared" si="4"/>
        <v>3341036.2143412903</v>
      </c>
      <c r="E27" s="3">
        <f t="shared" si="3"/>
        <v>127730405.74144611</v>
      </c>
      <c r="F27" s="3"/>
      <c r="G27" s="11"/>
      <c r="H27" s="11"/>
      <c r="J27" s="25"/>
      <c r="K27" s="2" t="s">
        <v>599</v>
      </c>
      <c r="L27" s="3">
        <f>SUM(L16:L24)</f>
        <v>91646141.25</v>
      </c>
      <c r="M27" s="11"/>
      <c r="N27" s="29">
        <f>SUM(N16:N25)</f>
        <v>154332204</v>
      </c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2"/>
        <v>4154040.4735815059</v>
      </c>
      <c r="D28" s="3">
        <f t="shared" si="4"/>
        <v>3374446.5764847035</v>
      </c>
      <c r="E28" s="3">
        <f t="shared" si="3"/>
        <v>131064607.75337183</v>
      </c>
      <c r="F28" s="3"/>
      <c r="G28" s="11"/>
      <c r="H28" s="11"/>
      <c r="K28" s="2" t="s">
        <v>600</v>
      </c>
      <c r="L28" s="3">
        <f>L16+L17+L20</f>
        <v>2618298</v>
      </c>
      <c r="M28" s="11"/>
      <c r="N28" s="29">
        <f>N16+N17+N22</f>
        <v>9936200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2"/>
        <v>4195580.8783173207</v>
      </c>
      <c r="D29" s="3">
        <f t="shared" si="4"/>
        <v>3408191.0422495506</v>
      </c>
      <c r="E29" s="3">
        <f t="shared" si="3"/>
        <v>134473289.74450704</v>
      </c>
      <c r="F29" s="3"/>
      <c r="G29" s="11"/>
      <c r="H29" s="11"/>
      <c r="K29" s="56" t="s">
        <v>719</v>
      </c>
      <c r="L29" s="1">
        <f>L27+N7</f>
        <v>148646141.25</v>
      </c>
      <c r="M29" s="29"/>
      <c r="N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2"/>
        <v>4237536.6871004943</v>
      </c>
      <c r="D30" s="3">
        <f t="shared" si="4"/>
        <v>3442272.9526720461</v>
      </c>
      <c r="E30" s="3">
        <f t="shared" si="3"/>
        <v>137958019.27382565</v>
      </c>
      <c r="F30" s="3"/>
      <c r="G30" s="11"/>
      <c r="H30" s="11"/>
      <c r="J30" s="25"/>
      <c r="V30" s="25"/>
    </row>
    <row r="31" spans="1:23" x14ac:dyDescent="0.25">
      <c r="A31" s="61">
        <v>98</v>
      </c>
      <c r="B31" s="11">
        <v>29</v>
      </c>
      <c r="C31" s="49">
        <f t="shared" si="2"/>
        <v>4279912.0539714992</v>
      </c>
      <c r="D31" s="3">
        <f t="shared" si="4"/>
        <v>3476695.6821987666</v>
      </c>
      <c r="E31" s="3">
        <f t="shared" si="3"/>
        <v>141520396.03107491</v>
      </c>
      <c r="F31" s="3"/>
      <c r="G31" s="11"/>
      <c r="H31" s="11"/>
      <c r="J31" s="25"/>
      <c r="M31" s="25"/>
      <c r="V31" s="25"/>
    </row>
    <row r="32" spans="1:23" x14ac:dyDescent="0.25">
      <c r="A32" s="61">
        <v>98</v>
      </c>
      <c r="B32" s="11">
        <v>30</v>
      </c>
      <c r="C32" s="49">
        <f t="shared" si="2"/>
        <v>4322711.1745112138</v>
      </c>
      <c r="D32" s="3">
        <f t="shared" si="4"/>
        <v>3511462.6390207545</v>
      </c>
      <c r="E32" s="3">
        <f t="shared" si="3"/>
        <v>145162052.48718691</v>
      </c>
      <c r="F32" s="3"/>
      <c r="G32" s="11"/>
      <c r="H32" s="11"/>
      <c r="J32" s="55"/>
      <c r="M32" s="25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2"/>
        <v>4365938.2862563264</v>
      </c>
      <c r="D33" s="3">
        <f t="shared" si="4"/>
        <v>3546577.265410962</v>
      </c>
      <c r="E33" s="3">
        <f t="shared" si="3"/>
        <v>148884654.557776</v>
      </c>
      <c r="F33" s="3"/>
      <c r="G33" s="11"/>
      <c r="H33" s="11"/>
      <c r="J33" s="25"/>
      <c r="M33" s="26"/>
    </row>
    <row r="34" spans="1:22" x14ac:dyDescent="0.25">
      <c r="A34" s="61">
        <v>98</v>
      </c>
      <c r="B34" s="11">
        <v>32</v>
      </c>
      <c r="C34" s="50">
        <f t="shared" si="2"/>
        <v>4409597.6691188896</v>
      </c>
      <c r="D34" s="3">
        <f t="shared" si="4"/>
        <v>3582043.0380650717</v>
      </c>
      <c r="E34" s="3">
        <f t="shared" si="3"/>
        <v>152689902.27998534</v>
      </c>
      <c r="F34" s="3"/>
      <c r="G34" s="11"/>
      <c r="H34" s="11"/>
      <c r="K34" s="3"/>
      <c r="L34" s="11" t="s">
        <v>305</v>
      </c>
      <c r="M34" s="25"/>
      <c r="N34" s="25"/>
    </row>
    <row r="35" spans="1:22" x14ac:dyDescent="0.25">
      <c r="A35" s="61">
        <v>98</v>
      </c>
      <c r="B35" s="11">
        <v>33</v>
      </c>
      <c r="C35" s="50">
        <f t="shared" si="2"/>
        <v>4453693.6458100788</v>
      </c>
      <c r="D35" s="3">
        <f t="shared" si="4"/>
        <v>3617863.4684457225</v>
      </c>
      <c r="E35" s="3">
        <f t="shared" ref="E35:E62" si="6">E34*$L$2+C35-D35</f>
        <v>156579530.50294939</v>
      </c>
      <c r="F35" s="3"/>
      <c r="G35" s="11"/>
      <c r="H35" s="11"/>
      <c r="K35" s="1" t="s">
        <v>306</v>
      </c>
      <c r="L35" s="1">
        <v>70000</v>
      </c>
      <c r="M35" s="25"/>
      <c r="N35" t="s">
        <v>25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160555309.59214637</v>
      </c>
      <c r="F36" s="3"/>
      <c r="G36" s="11"/>
      <c r="H36" s="11"/>
      <c r="K36" s="1" t="s">
        <v>322</v>
      </c>
      <c r="L36" s="1">
        <v>100000</v>
      </c>
      <c r="M36" t="s">
        <v>25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164619046.14791867</v>
      </c>
      <c r="F37" s="3"/>
      <c r="G37" s="11"/>
      <c r="H37" s="11"/>
      <c r="K37" s="1" t="s">
        <v>307</v>
      </c>
      <c r="L37" s="1">
        <v>80000</v>
      </c>
    </row>
    <row r="38" spans="1:2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168772583.73844573</v>
      </c>
      <c r="F38" s="3"/>
      <c r="G38" s="11"/>
      <c r="H38" s="11"/>
      <c r="K38" s="31" t="s">
        <v>308</v>
      </c>
      <c r="L38" s="1">
        <v>150000</v>
      </c>
    </row>
    <row r="39" spans="1:2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173017803.647459</v>
      </c>
      <c r="F39" s="3"/>
      <c r="G39" s="11"/>
      <c r="H39" s="11"/>
      <c r="K39" s="31" t="s">
        <v>309</v>
      </c>
      <c r="L39" s="1">
        <v>300000</v>
      </c>
    </row>
    <row r="40" spans="1:2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177356625.63699499</v>
      </c>
      <c r="F40" s="3"/>
      <c r="G40" s="11"/>
      <c r="H40" s="11"/>
      <c r="K40" s="31" t="s">
        <v>310</v>
      </c>
      <c r="L40" s="1">
        <v>100000</v>
      </c>
      <c r="P40" s="25"/>
    </row>
    <row r="41" spans="1:2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181791008.72548756</v>
      </c>
      <c r="F41" s="3"/>
      <c r="G41" s="11"/>
      <c r="H41" s="11"/>
      <c r="K41" s="31" t="s">
        <v>311</v>
      </c>
      <c r="L41" s="1">
        <v>200000</v>
      </c>
      <c r="P41" s="25"/>
    </row>
    <row r="42" spans="1:2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186322951.98150754</v>
      </c>
      <c r="F42" s="3"/>
      <c r="G42" s="11"/>
      <c r="H42" s="11"/>
      <c r="K42" s="18" t="s">
        <v>312</v>
      </c>
      <c r="L42" s="18">
        <v>300000</v>
      </c>
    </row>
    <row r="43" spans="1:2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190954495.33346298</v>
      </c>
      <c r="F43" s="3"/>
      <c r="G43" s="11"/>
      <c r="H43" s="11"/>
      <c r="K43" s="32" t="s">
        <v>313</v>
      </c>
      <c r="L43" s="1">
        <v>200000</v>
      </c>
    </row>
    <row r="44" spans="1:2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195687720.39558077</v>
      </c>
      <c r="F44" s="3"/>
      <c r="G44" s="11"/>
      <c r="H44" s="11"/>
      <c r="K44" s="32" t="s">
        <v>314</v>
      </c>
      <c r="L44" s="1">
        <v>20000</v>
      </c>
    </row>
    <row r="45" spans="1:2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200524751.31049544</v>
      </c>
      <c r="F45" s="3"/>
      <c r="G45" s="11"/>
      <c r="H45" s="11"/>
      <c r="K45" s="32" t="s">
        <v>316</v>
      </c>
      <c r="L45" s="1">
        <v>50000</v>
      </c>
    </row>
    <row r="46" spans="1:2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205467755.60877842</v>
      </c>
      <c r="F46" s="3"/>
      <c r="G46" s="11"/>
      <c r="H46" s="11"/>
      <c r="K46" s="32" t="s">
        <v>317</v>
      </c>
      <c r="L46" s="1">
        <v>90000</v>
      </c>
    </row>
    <row r="47" spans="1:2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210518945.08574778</v>
      </c>
      <c r="F47" s="3"/>
      <c r="G47" s="11"/>
      <c r="H47" s="11"/>
      <c r="K47" s="32" t="s">
        <v>318</v>
      </c>
      <c r="L47" s="1">
        <v>50000</v>
      </c>
    </row>
    <row r="48" spans="1:2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215680576.69590446</v>
      </c>
      <c r="F48" s="3"/>
      <c r="G48" s="11"/>
      <c r="H48" s="11" t="s">
        <v>612</v>
      </c>
      <c r="K48" s="32" t="s">
        <v>328</v>
      </c>
      <c r="L48" s="1">
        <v>150000</v>
      </c>
    </row>
    <row r="49" spans="1:12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220954953.46534869</v>
      </c>
      <c r="F49" s="3"/>
      <c r="G49" s="11"/>
      <c r="H49" s="11"/>
      <c r="K49" s="32" t="s">
        <v>319</v>
      </c>
      <c r="L49" s="1">
        <v>15000</v>
      </c>
    </row>
    <row r="50" spans="1:12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226344425.42253709</v>
      </c>
      <c r="F50" s="51"/>
      <c r="G50" s="11"/>
      <c r="H50" s="11"/>
      <c r="K50" s="32" t="s">
        <v>320</v>
      </c>
      <c r="L50" s="1">
        <v>20000</v>
      </c>
    </row>
    <row r="51" spans="1:12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231851390.54774806</v>
      </c>
      <c r="F51" s="3"/>
      <c r="G51" s="11"/>
      <c r="H51" s="11"/>
      <c r="K51" s="32" t="s">
        <v>321</v>
      </c>
      <c r="L51" s="1">
        <v>40000</v>
      </c>
    </row>
    <row r="52" spans="1:12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237478295.74163085</v>
      </c>
      <c r="F52" s="3"/>
      <c r="G52" s="11"/>
      <c r="H52" s="11"/>
      <c r="K52" s="32" t="s">
        <v>323</v>
      </c>
      <c r="L52" s="1">
        <v>150000</v>
      </c>
    </row>
    <row r="53" spans="1:12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243227637.81322059</v>
      </c>
      <c r="F53" s="3"/>
      <c r="G53" s="11"/>
      <c r="H53" s="11"/>
      <c r="K53" s="32" t="s">
        <v>325</v>
      </c>
      <c r="L53" s="1">
        <v>75000</v>
      </c>
    </row>
    <row r="54" spans="1:12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249101964.48780969</v>
      </c>
      <c r="F54" s="3"/>
      <c r="G54" s="11"/>
      <c r="H54" s="11"/>
      <c r="K54" s="32" t="s">
        <v>315</v>
      </c>
      <c r="L54" s="1">
        <v>140000</v>
      </c>
    </row>
    <row r="55" spans="1:12" x14ac:dyDescent="0.25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255103875.43507382</v>
      </c>
      <c r="F55" s="3"/>
      <c r="G55" s="11"/>
      <c r="H55" s="11"/>
      <c r="K55" s="2" t="s">
        <v>479</v>
      </c>
      <c r="L55" s="3">
        <v>830000</v>
      </c>
    </row>
    <row r="56" spans="1:12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261236023.31785831</v>
      </c>
      <c r="F56" s="3"/>
      <c r="G56" s="11"/>
      <c r="H56" s="11"/>
      <c r="K56" s="2"/>
      <c r="L56" s="3"/>
    </row>
    <row r="57" spans="1:12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267501114.86203933</v>
      </c>
      <c r="F57" s="3"/>
      <c r="G57" s="11"/>
      <c r="H57" s="11"/>
      <c r="K57" s="2"/>
      <c r="L57" s="3"/>
    </row>
    <row r="58" spans="1:12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273901911.94788218</v>
      </c>
      <c r="F58" s="3"/>
      <c r="G58" s="11"/>
      <c r="H58" s="11"/>
      <c r="K58" s="2" t="s">
        <v>6</v>
      </c>
      <c r="L58" s="3">
        <f>SUM(L35:L56)</f>
        <v>3130000</v>
      </c>
    </row>
    <row r="59" spans="1:12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280441232.72332793</v>
      </c>
      <c r="F59" s="3"/>
      <c r="G59" s="11"/>
      <c r="H59" s="11"/>
      <c r="K59" s="2" t="s">
        <v>329</v>
      </c>
      <c r="L59" s="3">
        <f>L58/30</f>
        <v>104333.33333333333</v>
      </c>
    </row>
    <row r="60" spans="1:12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287121952.73964745</v>
      </c>
      <c r="F60" s="3"/>
      <c r="G60" s="11"/>
      <c r="H60" s="11"/>
    </row>
    <row r="61" spans="1:12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293947006.10991192</v>
      </c>
      <c r="F61" s="3"/>
      <c r="G61" s="11"/>
      <c r="H61" s="11"/>
    </row>
    <row r="62" spans="1:12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300919386.69073641</v>
      </c>
      <c r="F62" s="3"/>
      <c r="G62" s="11"/>
      <c r="H62" s="11"/>
    </row>
    <row r="63" spans="1:12" x14ac:dyDescent="0.25">
      <c r="E63" s="26"/>
    </row>
    <row r="64" spans="1:12" x14ac:dyDescent="0.25">
      <c r="E64" s="26"/>
    </row>
    <row r="65" spans="1:12" x14ac:dyDescent="0.25">
      <c r="K65" s="48" t="s">
        <v>800</v>
      </c>
      <c r="L65" s="48" t="s">
        <v>477</v>
      </c>
    </row>
    <row r="66" spans="1:12" x14ac:dyDescent="0.25">
      <c r="K66" s="48">
        <v>1200000</v>
      </c>
      <c r="L66" s="48" t="s">
        <v>1082</v>
      </c>
    </row>
    <row r="67" spans="1:12" x14ac:dyDescent="0.25">
      <c r="A67" t="s">
        <v>25</v>
      </c>
      <c r="K67" s="47">
        <v>500000</v>
      </c>
      <c r="L67" s="48" t="s">
        <v>480</v>
      </c>
    </row>
    <row r="68" spans="1:12" x14ac:dyDescent="0.25">
      <c r="K68" s="47">
        <v>130000</v>
      </c>
      <c r="L68" s="48" t="s">
        <v>559</v>
      </c>
    </row>
    <row r="69" spans="1:12" x14ac:dyDescent="0.25">
      <c r="K69" s="47">
        <v>300000</v>
      </c>
      <c r="L69" s="48" t="s">
        <v>796</v>
      </c>
    </row>
    <row r="70" spans="1:12" x14ac:dyDescent="0.25">
      <c r="K70" s="47">
        <v>500000</v>
      </c>
      <c r="L70" s="48" t="s">
        <v>797</v>
      </c>
    </row>
    <row r="71" spans="1:12" x14ac:dyDescent="0.25">
      <c r="K71" s="47">
        <v>500000</v>
      </c>
      <c r="L71" s="48" t="s">
        <v>798</v>
      </c>
    </row>
    <row r="72" spans="1:12" x14ac:dyDescent="0.25">
      <c r="K72" s="47">
        <v>75000</v>
      </c>
      <c r="L72" s="48" t="s">
        <v>799</v>
      </c>
    </row>
    <row r="73" spans="1:12" x14ac:dyDescent="0.25">
      <c r="K73" s="47">
        <v>450000</v>
      </c>
      <c r="L73" s="48" t="s">
        <v>801</v>
      </c>
    </row>
    <row r="74" spans="1:12" x14ac:dyDescent="0.25">
      <c r="K74" s="47">
        <v>500000</v>
      </c>
      <c r="L74" s="48" t="s">
        <v>565</v>
      </c>
    </row>
    <row r="75" spans="1:12" x14ac:dyDescent="0.25">
      <c r="K75" s="47">
        <v>50000</v>
      </c>
      <c r="L75" s="48" t="s">
        <v>804</v>
      </c>
    </row>
    <row r="76" spans="1:12" x14ac:dyDescent="0.25">
      <c r="K76" s="47">
        <v>140000</v>
      </c>
      <c r="L76" s="48" t="s">
        <v>315</v>
      </c>
    </row>
    <row r="77" spans="1:12" x14ac:dyDescent="0.25">
      <c r="K77" s="47"/>
      <c r="L77" s="48" t="s">
        <v>25</v>
      </c>
    </row>
    <row r="78" spans="1:12" x14ac:dyDescent="0.25">
      <c r="K78" s="47">
        <f>SUM(K66:K77)</f>
        <v>4345000</v>
      </c>
      <c r="L78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4" sqref="D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401</v>
      </c>
      <c r="F2">
        <v>1</v>
      </c>
      <c r="G2">
        <f>B2*(E2-F2)</f>
        <v>20000000</v>
      </c>
    </row>
    <row r="3" spans="1:7" x14ac:dyDescent="0.25">
      <c r="A3" t="s">
        <v>331</v>
      </c>
      <c r="B3" s="3">
        <v>15000000</v>
      </c>
      <c r="C3" t="s">
        <v>332</v>
      </c>
      <c r="D3">
        <v>2</v>
      </c>
      <c r="E3">
        <f t="shared" ref="E3:E19" si="0">E4+D3</f>
        <v>395</v>
      </c>
      <c r="F3">
        <v>1</v>
      </c>
      <c r="G3">
        <f t="shared" ref="G3:G21" si="1">B3*(E3-F3)</f>
        <v>5910000000</v>
      </c>
    </row>
    <row r="4" spans="1:7" x14ac:dyDescent="0.25">
      <c r="A4" t="s">
        <v>344</v>
      </c>
      <c r="B4" s="3">
        <v>-3000000</v>
      </c>
      <c r="C4" t="s">
        <v>345</v>
      </c>
      <c r="D4">
        <v>1</v>
      </c>
      <c r="E4">
        <f t="shared" si="0"/>
        <v>393</v>
      </c>
      <c r="F4">
        <v>0</v>
      </c>
      <c r="G4">
        <f t="shared" si="1"/>
        <v>-1179000000</v>
      </c>
    </row>
    <row r="5" spans="1:7" x14ac:dyDescent="0.25">
      <c r="A5" t="s">
        <v>410</v>
      </c>
      <c r="B5" s="3">
        <v>-3200900</v>
      </c>
      <c r="C5" t="s">
        <v>412</v>
      </c>
      <c r="D5">
        <v>2</v>
      </c>
      <c r="E5">
        <f t="shared" si="0"/>
        <v>392</v>
      </c>
      <c r="F5">
        <v>0</v>
      </c>
      <c r="G5">
        <f t="shared" si="1"/>
        <v>-1254752800</v>
      </c>
    </row>
    <row r="6" spans="1:7" x14ac:dyDescent="0.25">
      <c r="A6" t="s">
        <v>422</v>
      </c>
      <c r="B6" s="3">
        <v>-3000900</v>
      </c>
      <c r="C6" t="s">
        <v>423</v>
      </c>
      <c r="D6">
        <v>2</v>
      </c>
      <c r="E6">
        <f t="shared" si="0"/>
        <v>390</v>
      </c>
      <c r="F6">
        <v>0</v>
      </c>
      <c r="G6">
        <f t="shared" si="1"/>
        <v>-1170351000</v>
      </c>
    </row>
    <row r="7" spans="1:7" x14ac:dyDescent="0.25">
      <c r="A7" t="s">
        <v>435</v>
      </c>
      <c r="B7" s="3">
        <v>-5805900</v>
      </c>
      <c r="C7" t="s">
        <v>436</v>
      </c>
      <c r="D7">
        <v>22</v>
      </c>
      <c r="E7">
        <f t="shared" si="0"/>
        <v>388</v>
      </c>
      <c r="F7">
        <v>0</v>
      </c>
      <c r="G7">
        <f t="shared" si="1"/>
        <v>-2252689200</v>
      </c>
    </row>
    <row r="8" spans="1:7" x14ac:dyDescent="0.25">
      <c r="A8" t="s">
        <v>472</v>
      </c>
      <c r="B8" s="3">
        <v>54417</v>
      </c>
      <c r="C8" s="9" t="s">
        <v>476</v>
      </c>
      <c r="D8" s="9">
        <v>272</v>
      </c>
      <c r="E8">
        <f t="shared" si="0"/>
        <v>366</v>
      </c>
      <c r="F8">
        <v>0</v>
      </c>
      <c r="G8">
        <f t="shared" si="1"/>
        <v>19916622</v>
      </c>
    </row>
    <row r="9" spans="1:7" x14ac:dyDescent="0.25">
      <c r="A9" t="s">
        <v>816</v>
      </c>
      <c r="B9" s="3">
        <v>-80000</v>
      </c>
      <c r="C9" t="s">
        <v>828</v>
      </c>
      <c r="D9">
        <v>65</v>
      </c>
      <c r="E9">
        <f t="shared" si="0"/>
        <v>94</v>
      </c>
      <c r="F9">
        <v>1</v>
      </c>
      <c r="G9">
        <f>B9*(E9-F9)</f>
        <v>-7440000</v>
      </c>
    </row>
    <row r="10" spans="1:7" x14ac:dyDescent="0.25">
      <c r="A10" t="s">
        <v>911</v>
      </c>
      <c r="B10" s="3">
        <v>850000</v>
      </c>
      <c r="C10" t="s">
        <v>917</v>
      </c>
      <c r="D10">
        <v>14</v>
      </c>
      <c r="E10">
        <f t="shared" si="0"/>
        <v>29</v>
      </c>
      <c r="F10">
        <v>1</v>
      </c>
      <c r="G10">
        <f t="shared" si="1"/>
        <v>23800000</v>
      </c>
    </row>
    <row r="11" spans="1:7" x14ac:dyDescent="0.25">
      <c r="A11" t="s">
        <v>933</v>
      </c>
      <c r="B11" s="3">
        <v>-700000</v>
      </c>
      <c r="C11" t="s">
        <v>943</v>
      </c>
      <c r="D11">
        <v>6</v>
      </c>
      <c r="E11">
        <f t="shared" si="0"/>
        <v>15</v>
      </c>
      <c r="F11">
        <v>1</v>
      </c>
      <c r="G11">
        <f t="shared" si="1"/>
        <v>-9800000</v>
      </c>
    </row>
    <row r="12" spans="1:7" x14ac:dyDescent="0.25">
      <c r="A12" t="s">
        <v>941</v>
      </c>
      <c r="B12" s="3">
        <v>1000000</v>
      </c>
      <c r="C12" t="s">
        <v>944</v>
      </c>
      <c r="D12">
        <v>8</v>
      </c>
      <c r="E12">
        <f t="shared" si="0"/>
        <v>9</v>
      </c>
      <c r="F12">
        <v>1</v>
      </c>
      <c r="G12">
        <f t="shared" si="1"/>
        <v>8000000</v>
      </c>
    </row>
    <row r="13" spans="1:7" x14ac:dyDescent="0.25">
      <c r="A13" t="s">
        <v>1077</v>
      </c>
      <c r="B13" s="3">
        <v>4857</v>
      </c>
      <c r="C13" t="s">
        <v>476</v>
      </c>
      <c r="D13">
        <v>1</v>
      </c>
      <c r="E13">
        <f t="shared" si="0"/>
        <v>1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1171574</v>
      </c>
      <c r="G27" s="7">
        <f>SUM(G2:G21)</f>
        <v>107683622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268537.71072319202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F16" workbookViewId="0">
      <selection activeCell="Q30" sqref="Q3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461</v>
      </c>
      <c r="B7" s="18">
        <v>-4000000</v>
      </c>
      <c r="C7" s="18">
        <f t="shared" si="1"/>
        <v>500000</v>
      </c>
      <c r="D7" s="18" t="s">
        <v>463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573</v>
      </c>
      <c r="H28" s="11" t="s">
        <v>180</v>
      </c>
      <c r="I28" s="11" t="s">
        <v>572</v>
      </c>
      <c r="J28" s="11" t="s">
        <v>564</v>
      </c>
    </row>
    <row r="29" spans="2:21" x14ac:dyDescent="0.25">
      <c r="G29" s="11">
        <f t="shared" ref="G29:G41" si="6">$I$47-I29</f>
        <v>66000</v>
      </c>
      <c r="H29" s="11" t="s">
        <v>570</v>
      </c>
      <c r="I29" s="11">
        <v>165000</v>
      </c>
      <c r="J29" s="11" t="s">
        <v>565</v>
      </c>
    </row>
    <row r="30" spans="2:21" x14ac:dyDescent="0.25">
      <c r="G30" s="11">
        <f t="shared" si="6"/>
        <v>31000</v>
      </c>
      <c r="H30" s="11" t="s">
        <v>571</v>
      </c>
      <c r="I30" s="11">
        <v>200000</v>
      </c>
      <c r="J30" s="11" t="s">
        <v>566</v>
      </c>
    </row>
    <row r="31" spans="2:21" x14ac:dyDescent="0.25">
      <c r="G31" s="11">
        <f t="shared" si="6"/>
        <v>6500</v>
      </c>
      <c r="H31" s="11" t="s">
        <v>712</v>
      </c>
      <c r="I31" s="11">
        <v>224500</v>
      </c>
      <c r="J31" s="11" t="s">
        <v>478</v>
      </c>
    </row>
    <row r="32" spans="2:21" x14ac:dyDescent="0.25">
      <c r="G32" s="11">
        <f t="shared" si="6"/>
        <v>46000</v>
      </c>
      <c r="H32" s="59" t="s">
        <v>806</v>
      </c>
      <c r="I32" s="11">
        <v>185000</v>
      </c>
      <c r="J32" s="11" t="s">
        <v>559</v>
      </c>
    </row>
    <row r="33" spans="6:23" x14ac:dyDescent="0.25">
      <c r="G33" s="11">
        <f t="shared" si="6"/>
        <v>6500</v>
      </c>
      <c r="H33" s="11" t="s">
        <v>712</v>
      </c>
      <c r="I33" s="11">
        <v>224500</v>
      </c>
      <c r="J33" s="11" t="s">
        <v>567</v>
      </c>
    </row>
    <row r="34" spans="6:23" x14ac:dyDescent="0.25">
      <c r="G34" s="11">
        <f t="shared" si="6"/>
        <v>6500</v>
      </c>
      <c r="H34" s="11" t="s">
        <v>712</v>
      </c>
      <c r="I34" s="11">
        <v>224500</v>
      </c>
      <c r="J34" s="11" t="s">
        <v>568</v>
      </c>
    </row>
    <row r="35" spans="6:23" x14ac:dyDescent="0.25">
      <c r="G35" s="11">
        <f t="shared" si="6"/>
        <v>6500</v>
      </c>
      <c r="H35" s="11" t="s">
        <v>712</v>
      </c>
      <c r="I35" s="11">
        <v>224500</v>
      </c>
      <c r="J35" s="11" t="s">
        <v>569</v>
      </c>
    </row>
    <row r="36" spans="6:23" x14ac:dyDescent="0.25">
      <c r="F36" t="s">
        <v>25</v>
      </c>
      <c r="G36" s="11">
        <f t="shared" si="6"/>
        <v>12000</v>
      </c>
      <c r="H36" s="11" t="s">
        <v>643</v>
      </c>
      <c r="I36" s="11">
        <v>219000</v>
      </c>
      <c r="J36" s="11" t="s">
        <v>642</v>
      </c>
      <c r="O36" s="22"/>
    </row>
    <row r="37" spans="6:23" x14ac:dyDescent="0.25">
      <c r="G37" s="11">
        <f t="shared" si="6"/>
        <v>13000</v>
      </c>
      <c r="H37" s="11" t="s">
        <v>652</v>
      </c>
      <c r="I37" s="11">
        <v>218000</v>
      </c>
      <c r="J37" s="11" t="s">
        <v>653</v>
      </c>
    </row>
    <row r="38" spans="6:23" x14ac:dyDescent="0.25">
      <c r="G38" s="11">
        <f t="shared" si="6"/>
        <v>6500</v>
      </c>
      <c r="H38" s="11" t="s">
        <v>711</v>
      </c>
      <c r="I38" s="11">
        <v>224500</v>
      </c>
      <c r="J38" s="11" t="s">
        <v>710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749</v>
      </c>
      <c r="I39" s="11">
        <v>190000</v>
      </c>
      <c r="J39" s="11" t="s">
        <v>748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747</v>
      </c>
      <c r="I40" s="11">
        <v>225000</v>
      </c>
      <c r="J40" s="11" t="s">
        <v>746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15000</v>
      </c>
      <c r="H41" s="11" t="s">
        <v>794</v>
      </c>
      <c r="I41" s="11">
        <v>216000</v>
      </c>
      <c r="J41" s="11" t="s">
        <v>793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794</v>
      </c>
      <c r="I42" s="11">
        <v>216000</v>
      </c>
      <c r="J42" s="11" t="s">
        <v>795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829</v>
      </c>
      <c r="I43" s="11">
        <v>227000</v>
      </c>
      <c r="J43" s="11" t="s">
        <v>830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895</v>
      </c>
      <c r="I44" s="11">
        <v>229000</v>
      </c>
      <c r="J44" s="11" t="s">
        <v>481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574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فروردین 97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  <vt:lpstr>نکات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2018-03-25T10:54:07Z</dcterms:modified>
</cp:coreProperties>
</file>