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1"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<sst xmlns="http://schemas.openxmlformats.org/spreadsheetml/2006/main" count="12878" uniqueCount="5397">
  <si>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</si>
  <si>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</si>
  <si>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</si>
  <si>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</si>
  <si>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</si>
  <si>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</si>
  <si>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</si>
  <si>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</si>
  <si>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</si>
  <si>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</si>
  <si>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</si>
  <si>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</si>
  <si>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</si>
  <si>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</si>
  <si>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</si>
  <si>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</si>
  <si>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</si>
  <si>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</si>
  <si>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</si>
  <si>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</si>
  <si>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</si>
  <si>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</si>
  <si>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</si>
  <si>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</si>
  <si>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</si>
  <si>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</si>
  <si>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</si>
  <si>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</si>
  <si>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</si>
  <si>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</si>
  <si>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</si>
  <si>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</si>
  <si>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</si>
  <si>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</si>
  <si>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</si>
  <si>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</si>
  <si>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</si>
  <si>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</si>
  <si>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</si>
  <si>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</si>
  <si>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</si>
  <si>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</si>
  <si>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</si>
  <si>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</si>
  <si>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</si>
  <si>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</si>
  <si>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</si>
  <si>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</si>
  <si>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</si>
  <si>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</si>
  <si>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</si>
  <si>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</si>
  <si>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</si>
  <si>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</si>
  <si>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</si>
  <si>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</si>
  <si>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</si>
  <si>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</si>
  <si>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</si>
  <si>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</si>
  <si>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</si>
  <si>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</si>
  <si>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</si>
  <si>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</si>
  <si>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</si>
  <si>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</si>
  <si>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</si>
  <si>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</si>
  <si>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</si>
  <si>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</si>
  <si>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</si>
  <si>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</si>
  <si>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</si>
  <si>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</si>
  <si>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</si>
  <si>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</si>
  <si>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</si>
  <si>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</si>
  <si>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</si>
  <si>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</si>
  <si>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</si>
  <si>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</si>
  <si>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</si>
  <si>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</si>
  <si>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</si>
  <si>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</si>
  <si>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</si>
  <si>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</si>
  <si>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</si>
  <si>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</si>
  <si>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</si>
  <si>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</si>
  <si>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</si>
  <si>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</si>
  <si>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</si>
  <si>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</si>
  <si>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</si>
  <si>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</si>
  <si>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</si>
  <si>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</si>
  <si>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</si>
  <si>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</si>
  <si>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</si>
  <si>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</si>
  <si>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</si>
  <si>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</si>
  <si>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</si>
  <si>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</si>
  <si>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</si>
  <si>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</si>
  <si>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</si>
  <si>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</si>
  <si>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</si>
  <si>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</si>
  <si>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</si>
  <si>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</si>
  <si>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</si>
  <si>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</si>
  <si>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</si>
  <si>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</si>
  <si>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</si>
  <si>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</si>
  <si>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</si>
  <si>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</si>
  <si>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</si>
  <si>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</si>
  <si>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</si>
  <si>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</si>
  <si>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</si>
  <si>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</si>
  <si>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</si>
  <si>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</si>
  <si>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</si>
  <si>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</si>
  <si>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</si>
  <si>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</si>
  <si>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</si>
  <si>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</si>
  <si>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</si>
  <si>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</si>
  <si>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</si>
  <si>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</si>
  <si>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</si>
  <si>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</si>
  <si>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</si>
  <si>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</si>
  <si>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</si>
  <si>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</si>
  <si>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</si>
  <si>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</si>
  <si>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</si>
  <si>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</si>
  <si>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</si>
  <si>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</si>
  <si>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</si>
  <si>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</si>
  <si>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</si>
  <si>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</si>
  <si>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</si>
  <si>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</si>
  <si>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</si>
  <si>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</si>
  <si>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</si>
  <si>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</si>
  <si>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</si>
  <si>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</si>
  <si>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</si>
  <si>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</si>
  <si>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</si>
  <si>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</si>
  <si>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</si>
  <si>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</si>
  <si>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</si>
  <si>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</si>
  <si>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</si>
  <si>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</si>
  <si>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</si>
  <si>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</si>
  <si>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</si>
  <si>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</si>
  <si>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</si>
  <si>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</si>
  <si>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</si>
  <si>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</si>
  <si>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</si>
  <si>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</si>
  <si>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</si>
  <si>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</si>
  <si>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</si>
  <si>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</si>
  <si>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</si>
  <si>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</si>
  <si>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</si>
  <si>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</si>
  <si>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</si>
  <si>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</si>
  <si>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</si>
  <si>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</si>
  <si>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</si>
  <si>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</si>
  <si>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</si>
  <si>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</si>
  <si>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</si>
  <si>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</si>
  <si>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</si>
  <si>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</si>
  <si>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</si>
  <si>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</si>
  <si>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</si>
  <si>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</si>
  <si>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</si>
  <si>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</si>
  <si>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</si>
  <si>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</si>
  <si>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</si>
  <si>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</si>
  <si>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</si>
  <si>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</si>
  <si>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</si>
  <si>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</si>
  <si>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</si>
  <si>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</si>
  <si>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</si>
  <si>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</si>
  <si>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</si>
  <si>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</si>
  <si>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</si>
  <si>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</si>
  <si>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</si>
  <si>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</si>
  <si>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</si>
  <si>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</si>
  <si>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</si>
  <si>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</si>
  <si>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</si>
  <si>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</si>
  <si>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</si>
  <si>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</si>
  <si>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</si>
  <si>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</si>
  <si>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</si>
  <si>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</si>
  <si>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</si>
  <si>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</si>
  <si>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</si>
  <si>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</si>
  <si>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</si>
  <si>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</si>
  <si>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</si>
  <si>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</si>
  <si>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</si>
  <si>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</si>
  <si>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</si>
  <si>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</si>
  <si>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</si>
  <si>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</si>
  <si>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</si>
  <si>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</si>
  <si>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</si>
  <si>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</si>
  <si>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</si>
  <si>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</si>
  <si>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</si>
  <si>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</si>
  <si>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</si>
  <si>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</si>
  <si>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</si>
  <si>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</si>
  <si>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</si>
  <si>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</si>
  <si>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</si>
  <si>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</si>
  <si>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</si>
  <si>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</si>
  <si>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</si>
  <si>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</si>
  <si>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</si>
  <si>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</si>
  <si>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</si>
  <si>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</si>
  <si>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</si>
  <si>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</si>
  <si>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</si>
  <si>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</si>
  <si>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</si>
  <si>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</si>
  <si>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</si>
  <si>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</si>
  <si>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</si>
  <si>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</si>
  <si>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</si>
  <si>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</si>
  <si>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</si>
  <si>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</si>
  <si>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</si>
  <si>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</si>
  <si>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</si>
  <si>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</si>
  <si>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</si>
  <si>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</si>
  <si>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</si>
  <si>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</si>
  <si>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</si>
  <si>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</si>
  <si>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</si>
  <si>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</si>
  <si>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</si>
  <si>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</si>
  <si>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</si>
  <si>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</si>
  <si>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</si>
  <si>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</si>
  <si>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</si>
  <si>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</si>
  <si>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</si>
  <si>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</si>
  <si>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</si>
  <si>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</si>
  <si>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</si>
  <si>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</si>
  <si>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</si>
  <si>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</si>
  <si>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</si>
  <si>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</si>
  <si>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</si>
  <si>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</si>
  <si>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</si>
  <si>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</si>
  <si>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</si>
  <si>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</si>
  <si>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</si>
  <si>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</si>
  <si>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</si>
  <si>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</si>
  <si>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</si>
  <si>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</si>
  <si>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</si>
  <si>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</si>
  <si>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</si>
  <si>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</si>
  <si>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</si>
  <si>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</si>
  <si>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</si>
  <si>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</si>
  <si>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</si>
  <si>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</si>
  <si>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</si>
  <si>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</si>
  <si>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</si>
  <si>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</si>
  <si>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</si>
  <si>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</si>
  <si>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</si>
  <si>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</si>
  <si>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</si>
  <si>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</si>
  <si>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</si>
  <si>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</si>
  <si>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</si>
  <si>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</si>
  <si>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</si>
  <si>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</si>
  <si>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</si>
  <si>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</si>
  <si>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</si>
  <si>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</si>
  <si>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</si>
  <si>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</si>
  <si>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</si>
  <si>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</si>
  <si>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</si>
  <si>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</si>
  <si>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</si>
  <si>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</si>
  <si>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</si>
  <si>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</si>
  <si>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</si>
  <si>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</si>
  <si>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</si>
  <si>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</si>
  <si>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</si>
  <si>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</si>
  <si>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</si>
  <si>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</si>
  <si>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</si>
  <si>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</si>
  <si>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</si>
  <si>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</si>
  <si>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</si>
  <si>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</si>
  <si>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</si>
  <si>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</si>
  <si>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</si>
  <si>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</si>
  <si>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</si>
  <si>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</si>
  <si>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</si>
  <si>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</si>
  <si>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</si>
  <si>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</si>
  <si>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</si>
  <si>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</si>
  <si>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</si>
  <si>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</si>
  <si>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</si>
  <si>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</si>
  <si>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</si>
  <si>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</si>
  <si>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</si>
  <si>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</si>
  <si>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</si>
  <si>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</si>
  <si>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</si>
  <si>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</si>
  <si>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</si>
  <si>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</si>
  <si>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</si>
  <si>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</si>
  <si>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</si>
  <si>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</si>
  <si>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</si>
  <si>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</si>
  <si>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</si>
  <si>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</si>
  <si>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</si>
  <si>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</si>
  <si>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</si>
  <si>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</si>
  <si>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</si>
  <si>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</si>
  <si>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</si>
  <si>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</si>
  <si>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</si>
  <si>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</si>
  <si>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</si>
  <si>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</si>
  <si>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</si>
  <si>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</si>
  <si>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</si>
  <si>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</si>
  <si>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</si>
  <si>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</si>
  <si>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</si>
  <si>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</si>
  <si>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</si>
  <si>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</si>
  <si>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</si>
  <si>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</si>
  <si>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</si>
  <si>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</si>
  <si>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</si>
  <si>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</si>
  <si>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</si>
  <si>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</si>
  <si>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</si>
  <si>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</si>
  <si>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</si>
  <si>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</si>
  <si>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</si>
  <si>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</si>
  <si>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</si>
  <si>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</si>
  <si>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</si>
  <si>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</si>
  <si>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</si>
  <si>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</si>
  <si>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</si>
  <si>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</si>
  <si>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</si>
  <si>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</si>
  <si>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</si>
  <si>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</si>
  <si>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</si>
  <si>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</si>
  <si>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</si>
  <si>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</si>
  <si>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</si>
  <si>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</si>
  <si>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</si>
  <si>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</si>
  <si>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</si>
  <si>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</si>
  <si>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</si>
  <si>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</si>
  <si>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</si>
  <si>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</si>
  <si>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</si>
  <si>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</si>
  <si>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</si>
  <si>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</si>
  <si>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</si>
  <si>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</si>
  <si>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</si>
  <si>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</si>
  <si>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</si>
  <si>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</si>
  <si>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</si>
  <si>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</si>
  <si>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</si>
  <si>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</si>
  <si>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</si>
  <si>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</si>
  <si>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</si>
  <si>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</si>
  <si>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</si>
  <si>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</si>
  <si>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</si>
  <si>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</si>
  <si>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</si>
  <si>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</si>
  <si>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</si>
  <si>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</si>
  <si>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</si>
  <si>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</si>
  <si>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</si>
  <si>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</si>
  <si>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</si>
  <si>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</si>
  <si>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</si>
  <si>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</si>
  <si>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</si>
  <si>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</si>
  <si>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</si>
  <si>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</si>
  <si>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</si>
  <si>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</si>
  <si>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</si>
  <si>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</si>
  <si>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</si>
  <si>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</si>
  <si>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</si>
  <si>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</si>
  <si>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</si>
  <si>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</si>
  <si>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</si>
  <si>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</si>
  <si>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</si>
  <si>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</si>
  <si>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</si>
  <si>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</si>
  <si>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</si>
  <si>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</si>
  <si>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</si>
  <si>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</si>
  <si>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</si>
  <si>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</si>
  <si>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</si>
  <si>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</si>
  <si>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</si>
  <si>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</si>
  <si>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</si>
  <si>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</si>
  <si>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</si>
  <si>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</si>
  <si>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</si>
  <si>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</si>
  <si>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</si>
  <si>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</si>
  <si>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</si>
  <si>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</si>
  <si>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</si>
  <si>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</si>
  <si>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</si>
  <si>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</si>
  <si>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</si>
  <si>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</si>
  <si>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</si>
  <si>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</si>
  <si>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</si>
  <si>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</si>
  <si>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</si>
  <si>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</si>
  <si>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</si>
  <si>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</si>
  <si>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</si>
  <si>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</si>
  <si>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</si>
  <si>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</si>
  <si>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</si>
  <si>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</si>
  <si>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</si>
  <si>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</si>
  <si>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</si>
  <si>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</si>
  <si>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</si>
  <si>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</si>
  <si>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</si>
  <si>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</si>
  <si>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</si>
  <si>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</si>
  <si>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</si>
  <si>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</si>
  <si>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</si>
  <si>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</si>
  <si>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</si>
  <si>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</si>
  <si>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</si>
  <si>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</si>
  <si>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</si>
  <si>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</si>
  <si>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</si>
  <si>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</si>
  <si>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</si>
  <si>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</si>
  <si>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</si>
  <si>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</si>
  <si>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</si>
  <si>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</si>
  <si>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</si>
  <si>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</si>
  <si>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</si>
  <si>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</si>
  <si>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</si>
  <si>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</si>
  <si>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</si>
  <si>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</si>
  <si>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</si>
  <si>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</si>
  <si>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</si>
  <si>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</si>
  <si>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</si>
  <si>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</si>
  <si>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</si>
  <si>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</si>
  <si>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</si>
  <si>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</si>
  <si>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</si>
  <si>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</si>
  <si>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</si>
  <si>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</si>
  <si>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</si>
  <si>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</si>
  <si>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</si>
  <si>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</si>
  <si>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</si>
  <si>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</si>
  <si>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</si>
  <si>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</si>
  <si>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</si>
  <si>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</si>
  <si>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</si>
  <si>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</si>
  <si>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</si>
  <si>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</si>
  <si>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</si>
  <si>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</si>
  <si>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</si>
  <si>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</si>
  <si>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</si>
  <si>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</si>
  <si>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</si>
  <si>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</si>
  <si>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</si>
  <si>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</si>
  <si>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</si>
  <si>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</si>
  <si>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</si>
  <si>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</si>
  <si>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</si>
  <si>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</si>
  <si>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</si>
  <si>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</si>
  <si>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</si>
  <si>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</si>
  <si>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</si>
  <si>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</si>
  <si>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</si>
  <si>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</si>
  <si>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</si>
  <si>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</si>
  <si>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</si>
  <si>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</si>
  <si>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</si>
  <si>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</si>
  <si>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</si>
  <si>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</si>
  <si>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</si>
  <si>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</si>
  <si>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</si>
  <si>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</si>
  <si>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</si>
  <si>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</si>
  <si>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</si>
  <si>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</si>
  <si>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</si>
  <si>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</si>
  <si>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</si>
  <si>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</si>
  <si>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</si>
  <si>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</si>
  <si>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</si>
  <si>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</si>
  <si>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</si>
  <si>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</si>
  <si>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</si>
  <si>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</si>
  <si>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</si>
  <si>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</si>
  <si>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</si>
  <si>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</si>
  <si>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</si>
  <si>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</si>
  <si>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</si>
  <si>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</si>
  <si>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</si>
  <si>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</si>
  <si>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</si>
  <si>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</si>
  <si>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</si>
  <si>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</si>
  <si>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</si>
  <si>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</si>
  <si>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</si>
  <si>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</si>
  <si>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</si>
  <si>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</si>
  <si>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</si>
  <si>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</si>
  <si>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</si>
  <si>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</si>
  <si>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</si>
  <si>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</si>
  <si>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</si>
  <si>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</si>
  <si>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</si>
  <si>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</si>
  <si>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</si>
  <si>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</si>
  <si>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</si>
  <si>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</si>
  <si>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</si>
  <si>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</si>
  <si>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</si>
  <si>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</si>
  <si>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</si>
  <si>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</si>
  <si>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</si>
  <si>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</si>
  <si>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</si>
  <si>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</si>
  <si>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</si>
  <si>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</si>
  <si>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</si>
  <si>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</si>
  <si>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</si>
  <si>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</si>
  <si>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</si>
  <si>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</si>
  <si>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</si>
  <si>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</si>
  <si>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</si>
  <si>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</si>
  <si>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</si>
  <si>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</si>
  <si>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</si>
  <si>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</si>
  <si>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</si>
  <si>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</si>
  <si>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</si>
  <si>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</si>
  <si>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</si>
  <si>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</si>
  <si>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</si>
  <si>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</si>
  <si>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</si>
  <si>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</si>
  <si>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</si>
  <si>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</si>
  <si>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</si>
  <si>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</si>
  <si>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</si>
  <si>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</si>
  <si>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</si>
  <si>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</si>
  <si>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</si>
  <si>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</si>
  <si>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</si>
  <si>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</si>
  <si>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</si>
  <si>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</si>
  <si>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</si>
  <si>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</si>
  <si>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</si>
  <si>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</si>
  <si>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</si>
  <si>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</si>
  <si>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</si>
  <si>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</si>
  <si>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</si>
  <si>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</si>
  <si>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</si>
  <si>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</si>
  <si>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</si>
  <si>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</si>
  <si>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</si>
  <si>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</si>
  <si>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</si>
  <si>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</si>
  <si>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</si>
  <si>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</si>
  <si>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</si>
  <si>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</si>
  <si>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</si>
  <si>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</si>
  <si>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</si>
  <si>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</si>
  <si>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</si>
  <si>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</si>
  <si>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</si>
  <si>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</si>
  <si>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</si>
  <si>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</si>
  <si>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</si>
  <si>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</si>
  <si>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</si>
  <si>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</si>
  <si>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</si>
  <si>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</si>
  <si>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</si>
  <si>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</si>
  <si>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</si>
  <si>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</si>
  <si>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</si>
  <si>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</si>
  <si>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</si>
  <si>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</si>
  <si>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</si>
  <si>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</si>
  <si>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</si>
  <si>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</si>
  <si>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</si>
  <si>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</si>
  <si>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</si>
  <si>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</si>
  <si>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</si>
  <si>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</si>
  <si>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</si>
  <si>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</si>
  <si>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</si>
  <si>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</si>
  <si>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</si>
  <si>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</si>
  <si>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</si>
  <si>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</si>
  <si>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</si>
  <si>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</si>
  <si>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</si>
  <si>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</si>
  <si>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</si>
  <si>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</si>
  <si>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</si>
  <si>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</si>
  <si>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</si>
  <si>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</si>
  <si>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</si>
  <si>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</si>
  <si>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</si>
  <si>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</si>
  <si>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</si>
  <si>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</si>
  <si>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</si>
  <si>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</si>
  <si>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</si>
  <si>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</si>
  <si>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</si>
  <si>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</si>
  <si>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</si>
  <si>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</si>
  <si>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</si>
  <si>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</si>
  <si>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</si>
  <si>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</si>
  <si>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</si>
  <si>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</si>
  <si>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</si>
  <si>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</si>
  <si>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</si>
  <si>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</si>
  <si>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</si>
  <si>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</si>
  <si>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</si>
  <si>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</si>
  <si>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</si>
  <si>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</si>
  <si>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</si>
  <si>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</si>
  <si>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</si>
  <si>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</si>
  <si>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</si>
  <si>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</si>
  <si>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</si>
  <si>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</si>
  <si>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</si>
  <si>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</si>
  <si>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</si>
  <si>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</si>
  <si>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</si>
  <si>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</si>
  <si>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</si>
  <si>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</si>
  <si>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</si>
  <si>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</si>
  <si>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</si>
  <si>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</si>
  <si>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</si>
  <si>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</si>
  <si>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</si>
  <si>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</si>
  <si>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</si>
  <si>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</si>
  <si>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</si>
  <si>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</si>
  <si>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</si>
  <si>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</si>
  <si>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</si>
  <si>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</si>
  <si>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</si>
  <si>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</si>
  <si>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</si>
  <si>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</si>
  <si>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</si>
  <si>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</si>
  <si>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</si>
  <si>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</si>
  <si>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</si>
  <si>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</si>
  <si>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</si>
  <si>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</si>
  <si>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</si>
  <si>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</si>
  <si>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</si>
  <si>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</si>
  <si>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</si>
  <si>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</si>
  <si>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</si>
  <si>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</si>
  <si>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</si>
  <si>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</si>
  <si>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</si>
  <si>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</si>
  <si>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</si>
  <si>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</si>
  <si>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</si>
  <si>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</si>
  <si>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</si>
  <si>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</si>
  <si>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</si>
  <si>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</si>
  <si>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</si>
  <si>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</si>
  <si>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</si>
  <si>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</si>
  <si>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</si>
  <si>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</si>
  <si>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</si>
  <si>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</si>
  <si>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</si>
  <si>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</si>
  <si>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</si>
  <si>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</si>
  <si>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</si>
  <si>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</si>
  <si>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</si>
  <si>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</si>
  <si>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</si>
  <si>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</si>
  <si>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</si>
  <si>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</si>
  <si>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</si>
  <si>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</si>
  <si>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</si>
  <si>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</si>
  <si>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</si>
  <si>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</si>
  <si>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</si>
  <si>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</si>
  <si>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</si>
  <si>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</si>
  <si>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</si>
  <si>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</si>
  <si>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</si>
  <si>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</si>
  <si>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</si>
  <si>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</si>
  <si>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</si>
  <si>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</si>
  <si>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</si>
  <si>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</si>
  <si>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</si>
  <si>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</si>
  <si>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</si>
  <si>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</si>
  <si>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</si>
  <si>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</si>
  <si>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</si>
  <si>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</si>
  <si>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</si>
  <si>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</si>
  <si>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</si>
  <si>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</si>
  <si>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</si>
  <si>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</si>
  <si>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</si>
  <si>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</si>
  <si>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</si>
  <si>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</si>
  <si>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</si>
  <si>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</si>
  <si>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</si>
  <si>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</si>
  <si>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</si>
  <si>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</si>
  <si>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</si>
  <si>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</si>
  <si>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</si>
  <si>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</si>
  <si>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</si>
  <si>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</si>
  <si>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</si>
  <si>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</si>
  <si>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</si>
  <si>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</si>
  <si>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</si>
  <si>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</si>
  <si>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</si>
  <si>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</si>
  <si>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</si>
  <si>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</si>
  <si>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</si>
  <si>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</si>
  <si>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</si>
  <si>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</si>
  <si>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</si>
  <si>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</si>
  <si>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</si>
  <si>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</si>
  <si>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</si>
  <si>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</si>
  <si>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</si>
  <si>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</si>
  <si>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</si>
  <si>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</si>
  <si>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</si>
  <si>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</si>
  <si>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</si>
  <si>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</si>
  <si>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</si>
  <si>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</si>
  <si>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</si>
  <si>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</si>
  <si>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</si>
  <si>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</si>
  <si>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</si>
  <si>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</si>
  <si>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</si>
  <si>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</si>
  <si>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</si>
  <si>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</si>
  <si>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</si>
  <si>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</si>
  <si>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</si>
  <si>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</si>
  <si>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</si>
  <si>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</si>
  <si>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</si>
  <si>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</si>
  <si>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</si>
  <si>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</si>
  <si>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</si>
  <si>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</si>
  <si>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</si>
  <si>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</si>
  <si>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</si>
  <si>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</si>
  <si>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</si>
  <si>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</si>
  <si>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</si>
  <si>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</si>
  <si>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</si>
  <si>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</si>
  <si>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</si>
  <si>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</si>
  <si>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</si>
  <si>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</si>
  <si>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</si>
  <si>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</si>
  <si>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</si>
  <si>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</si>
  <si>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</si>
  <si>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</si>
  <si>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</si>
  <si>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</si>
  <si>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</si>
  <si>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</si>
  <si>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</si>
  <si>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</si>
  <si>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</si>
  <si>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</si>
  <si>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</si>
  <si>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</si>
  <si>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</si>
  <si>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</si>
  <si>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</si>
  <si>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</si>
  <si>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</si>
  <si>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</si>
  <si>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</si>
  <si>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</si>
  <si>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</si>
  <si>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</si>
  <si>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</si>
  <si>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</si>
  <si>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</si>
  <si>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</si>
  <si>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</si>
  <si>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</si>
  <si>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</si>
  <si>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</si>
  <si>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</si>
  <si>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</si>
  <si>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</si>
  <si>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</si>
  <si>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</si>
  <si>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</si>
  <si>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</si>
  <si>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</si>
  <si>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</si>
  <si>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</si>
  <si>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</si>
  <si>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</si>
  <si>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</si>
  <si>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</si>
  <si>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</si>
  <si>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</si>
  <si>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</si>
  <si>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</si>
  <si>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</si>
  <si>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</si>
  <si>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</si>
  <si>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</si>
  <si>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</si>
  <si>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</si>
  <si>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</si>
  <si>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</si>
  <si>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</si>
  <si>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</si>
  <si>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</si>
  <si>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</si>
  <si>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</si>
  <si>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</si>
  <si>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</si>
  <si>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</si>
  <si>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</si>
  <si>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</si>
  <si>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</si>
  <si>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</si>
  <si>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</si>
  <si>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</si>
  <si>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</si>
  <si>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</si>
  <si>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</si>
  <si>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</si>
  <si>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</si>
  <si>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</si>
  <si>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</si>
  <si>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</si>
  <si>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</si>
  <si>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</si>
  <si>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</si>
  <si>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</si>
  <si>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</si>
  <si>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</si>
  <si>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</si>
  <si>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</si>
  <si>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</si>
  <si>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</si>
  <si>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</si>
  <si>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</si>
  <si>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</si>
  <si>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</si>
  <si>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</si>
  <si>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</si>
  <si>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</si>
  <si>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</si>
  <si>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</si>
  <si>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</si>
  <si>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</si>
  <si>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</si>
  <si>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</si>
  <si>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</si>
  <si>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</si>
  <si>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</si>
  <si>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</si>
  <si>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</si>
  <si>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</si>
  <si>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</si>
  <si>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</si>
  <si>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</si>
  <si>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</si>
  <si>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</si>
  <si>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</si>
  <si>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</si>
  <si>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</si>
  <si>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</si>
  <si>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</si>
  <si>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</si>
  <si>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</si>
  <si>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</si>
  <si>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</si>
  <si>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</si>
  <si>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</si>
  <si>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</si>
  <si>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</si>
  <si>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</si>
  <si>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</si>
  <si>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</si>
  <si>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</si>
  <si>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</si>
  <si>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</si>
  <si>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</si>
  <si>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</si>
  <si>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</si>
  <si>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</si>
  <si>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</si>
  <si>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</si>
  <si>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</si>
  <si>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</si>
  <si>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</si>
  <si>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</si>
  <si>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</si>
  <si>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</si>
  <si>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</si>
  <si>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</si>
  <si>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</si>
  <si>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</si>
  <si>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</si>
  <si>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</si>
  <si>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</si>
  <si>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</si>
  <si>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</si>
  <si>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</si>
  <si>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</si>
  <si>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</si>
  <si>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</si>
  <si>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</si>
  <si>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</si>
  <si>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</si>
  <si>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</si>
  <si>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</si>
  <si>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</si>
  <si>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</si>
  <si>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</si>
  <si>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</si>
  <si>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</si>
  <si>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</si>
  <si>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</si>
  <si>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</si>
  <si>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</si>
  <si>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</si>
  <si>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</si>
  <si>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</si>
  <si>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</si>
  <si>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</si>
  <si>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</si>
  <si>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</si>
  <si>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</si>
  <si>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</si>
  <si>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</si>
  <si>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</si>
  <si>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</si>
  <si>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</si>
  <si>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</si>
  <si>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</si>
  <si>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</si>
  <si>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</si>
  <si>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</si>
  <si>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</si>
  <si>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</si>
  <si>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</si>
  <si>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</si>
  <si>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</si>
  <si>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</si>
  <si>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</si>
  <si>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</si>
  <si>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</si>
  <si>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</si>
  <si>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</si>
  <si>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</si>
  <si>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</si>
  <si>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</si>
  <si>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</si>
  <si>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</si>
  <si>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</si>
  <si>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</si>
  <si>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</si>
  <si>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</si>
  <si>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</si>
  <si>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</si>
  <si>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</si>
  <si>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</si>
  <si>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</si>
  <si>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</si>
  <si>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</si>
  <si>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</si>
  <si>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</si>
  <si>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</si>
  <si>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</si>
  <si>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</si>
  <si>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</si>
  <si>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</si>
  <si>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</si>
  <si>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</si>
  <si>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</si>
  <si>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</si>
  <si>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</si>
  <si>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</si>
  <si>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</si>
  <si>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</si>
  <si>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</si>
  <si>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</si>
  <si>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</si>
  <si>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</si>
  <si>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</si>
  <si>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</si>
  <si>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</si>
  <si>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</si>
  <si>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</si>
  <si>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</si>
  <si>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</si>
  <si>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</si>
  <si>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</si>
  <si>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</si>
  <si>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</si>
  <si>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</si>
  <si>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</si>
  <si>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</si>
  <si>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</si>
  <si>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</si>
  <si>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</si>
  <si>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</si>
  <si>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</si>
  <si>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</si>
  <si>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</si>
  <si>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</si>
  <si>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</si>
  <si>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</si>
  <si>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</si>
  <si>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</si>
  <si>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</si>
  <si>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</si>
  <si>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</si>
  <si>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</si>
  <si>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</si>
  <si>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</si>
  <si>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</si>
  <si>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</si>
  <si>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</si>
  <si>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</si>
  <si>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</si>
  <si>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</si>
  <si>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</si>
  <si>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</si>
  <si>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</si>
  <si>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</si>
  <si>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</si>
  <si>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</si>
  <si>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</si>
  <si>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</si>
  <si>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</si>
  <si>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</si>
  <si>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</si>
  <si>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</si>
  <si>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</si>
  <si>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</si>
  <si>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</si>
  <si>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</si>
  <si>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</si>
  <si>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</si>
  <si>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</si>
  <si>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</si>
  <si>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</si>
  <si>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</si>
  <si>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</si>
  <si>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</si>
  <si>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</si>
  <si>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</si>
  <si>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</si>
  <si>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</si>
  <si>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</si>
  <si>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</si>
  <si>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</si>
  <si>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</si>
  <si>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</si>
  <si>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</si>
  <si>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</si>
  <si>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</si>
  <si>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</si>
  <si>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</si>
  <si>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</si>
  <si>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</si>
  <si>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</si>
  <si>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</si>
  <si>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</si>
  <si>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</si>
  <si>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</si>
  <si>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</si>
  <si>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</si>
  <si>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</si>
  <si>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</si>
  <si>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</si>
  <si>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</si>
  <si>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</si>
  <si>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</si>
  <si>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</si>
  <si>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</si>
  <si>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</si>
  <si>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</si>
  <si>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</si>
  <si>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</si>
  <si>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</si>
  <si>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</si>
  <si>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</si>
  <si>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</si>
  <si>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</si>
  <si>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</si>
  <si>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</si>
  <si>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</si>
  <si>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</si>
  <si>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</si>
  <si>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</si>
  <si>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</si>
  <si>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</si>
  <si>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</si>
  <si>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</si>
  <si>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</si>
  <si>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</si>
  <si>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</si>
  <si>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</si>
  <si>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</si>
  <si>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</si>
  <si>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</si>
  <si>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</si>
  <si>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</si>
  <si>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</si>
  <si>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</si>
  <si>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</si>
  <si>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</si>
  <si>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</si>
  <si>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</si>
  <si>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</si>
  <si>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</si>
  <si>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</si>
  <si>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</si>
  <si>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</si>
  <si>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</si>
  <si>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</si>
  <si>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</si>
  <si>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</si>
  <si>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</si>
  <si>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</si>
  <si>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</si>
  <si>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</si>
  <si>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</si>
  <si>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</si>
  <si>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</si>
  <si>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</si>
  <si>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</si>
  <si>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</si>
  <si>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</si>
  <si>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</si>
  <si>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</si>
  <si>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</si>
  <si>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</si>
  <si>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</si>
  <si>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</si>
  <si>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</si>
  <si>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</si>
  <si>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</si>
  <si>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</si>
  <si>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</si>
  <si>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</si>
  <si>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</si>
  <si>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</si>
  <si>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</si>
  <si>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</si>
  <si>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</si>
  <si>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</si>
  <si>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</si>
  <si>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</si>
  <si>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</si>
  <si>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</si>
  <si>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</si>
  <si>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</si>
  <si>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</si>
  <si>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</si>
  <si>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</si>
  <si>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</si>
  <si>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</si>
  <si>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</si>
  <si>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</si>
  <si>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</si>
  <si>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</si>
  <si>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</si>
  <si>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</si>
  <si>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</si>
  <si>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</si>
  <si>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</si>
  <si>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</si>
  <si>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</si>
  <si>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</si>
  <si>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</si>
  <si>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</si>
  <si>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</si>
  <si>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</si>
  <si>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</si>
  <si>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</si>
  <si>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</si>
  <si>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</si>
  <si>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</si>
  <si>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</si>
  <si>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</si>
  <si>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</si>
  <si>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</si>
  <si>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</si>
  <si>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</si>
  <si>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</si>
  <si>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</si>
  <si>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</si>
  <si>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</si>
  <si>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</si>
  <si>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</si>
  <si>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</si>
  <si>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</si>
  <si>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</si>
  <si>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</si>
  <si>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</si>
  <si>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</si>
  <si>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</si>
  <si>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</si>
  <si>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</si>
  <si>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</si>
  <si>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</si>
  <si>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</si>
  <si>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</si>
  <si>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</si>
  <si>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</si>
  <si>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</si>
  <si>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</si>
  <si>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</si>
  <si>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</si>
  <si>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</si>
  <si>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</si>
  <si>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</si>
  <si>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</si>
  <si>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</si>
  <si>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</si>
  <si>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</si>
  <si>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</si>
  <si>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</si>
  <si>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</si>
  <si>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</si>
  <si>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</si>
  <si>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</si>
  <si>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</si>
  <si>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</si>
  <si>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</si>
  <si>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</si>
  <si>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</si>
  <si>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</si>
  <si>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</si>
  <si>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</si>
  <si>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</si>
  <si>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</si>
  <si>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</si>
  <si>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</si>
  <si>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</si>
  <si>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</si>
  <si>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</si>
  <si>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</si>
  <si>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</si>
  <si>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</si>
  <si>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</si>
  <si>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</si>
  <si>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</si>
  <si>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</si>
  <si>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</si>
  <si>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</si>
  <si>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</si>
  <si>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</si>
  <si>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</si>
  <si>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</si>
  <si>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</si>
  <si>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</si>
  <si>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</si>
  <si>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</si>
  <si>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</si>
  <si>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</si>
  <si>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</si>
  <si>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</si>
  <si>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</si>
  <si>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</si>
  <si>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</si>
  <si>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</si>
  <si>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</si>
  <si>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</si>
  <si>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</si>
  <si>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</si>
  <si>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</si>
  <si>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</si>
  <si>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</si>
  <si>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</si>
  <si>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</si>
  <si>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</si>
  <si>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</si>
  <si>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</si>
  <si>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</si>
  <si>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</si>
  <si>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</si>
  <si>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</si>
  <si>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</si>
  <si>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</si>
  <si>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</si>
  <si>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</si>
  <si>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</si>
  <si>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</si>
  <si>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</si>
  <si>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</si>
  <si>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</si>
  <si>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</si>
  <si>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</si>
  <si>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</si>
  <si>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</si>
  <si>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</si>
  <si>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</si>
  <si>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</si>
  <si>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</si>
  <si>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</si>
  <si>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</si>
  <si>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</si>
  <si>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</si>
  <si>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</si>
  <si>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</si>
  <si>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</si>
  <si>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</si>
  <si>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</si>
  <si>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</si>
  <si>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</si>
  <si>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</si>
  <si>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</si>
  <si>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</si>
  <si>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</si>
  <si>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</si>
  <si>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</si>
  <si>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</si>
  <si>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</si>
  <si>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</si>
  <si>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</si>
  <si>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</si>
  <si>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</si>
  <si>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</si>
  <si>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</si>
  <si>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</si>
  <si>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</si>
  <si>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</si>
  <si>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</si>
  <si>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</si>
  <si>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</si>
  <si>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</si>
  <si>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</si>
  <si>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</si>
  <si>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</si>
  <si>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</si>
  <si>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</si>
  <si>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</si>
  <si>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</si>
  <si>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</si>
  <si>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</si>
  <si>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</si>
  <si>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</si>
  <si>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</si>
  <si>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</si>
  <si>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</si>
  <si>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</si>
  <si>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</si>
  <si>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</si>
  <si>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</si>
  <si>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</si>
  <si>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</si>
  <si>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</si>
  <si>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</si>
  <si>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</si>
  <si>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</si>
  <si>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</si>
  <si>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</si>
  <si>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</si>
  <si>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</si>
  <si>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</si>
  <si>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</si>
  <si>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</si>
  <si>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</si>
  <si>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</si>
  <si>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</si>
  <si>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</si>
  <si>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</si>
  <si>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</si>
  <si>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</si>
  <si>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</si>
  <si>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</si>
  <si>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</si>
  <si>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</si>
  <si>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</si>
  <si>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</si>
  <si>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</si>
  <si>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</si>
  <si>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</si>
  <si>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</si>
  <si>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</si>
  <si>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</si>
  <si>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</si>
  <si>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</si>
  <si>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</si>
  <si>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</si>
  <si>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</si>
  <si>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</si>
  <si>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</si>
  <si>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</si>
  <si>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</si>
  <si>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</si>
  <si>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</si>
  <si>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</si>
  <si>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</si>
  <si>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</si>
  <si>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</si>
  <si>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</si>
  <si>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</si>
  <si>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</si>
  <si>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</si>
  <si>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</si>
  <si>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</si>
  <si>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</si>
  <si>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</si>
  <si>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</si>
  <si>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</si>
  <si>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</si>
  <si>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</si>
  <si>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</si>
  <si>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</si>
  <si>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</si>
  <si>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</si>
  <si>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</si>
  <si>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</si>
  <si>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</si>
  <si>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</si>
  <si>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</si>
  <si>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</si>
  <si>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</si>
  <si>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</si>
  <si>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</si>
  <si>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</si>
  <si>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</si>
  <si>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</si>
  <si>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</si>
  <si>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</si>
  <si>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</si>
  <si>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</si>
  <si>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</si>
  <si>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</si>
  <si>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</si>
  <si>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</si>
  <si>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</si>
  <si>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</si>
  <si>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</si>
  <si>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</si>
  <si>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</si>
  <si>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</si>
  <si>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</si>
  <si>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</si>
  <si>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</si>
  <si>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</si>
  <si>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</si>
  <si>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</si>
  <si>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</si>
  <si>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</si>
  <si>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</si>
  <si>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</si>
  <si>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</si>
  <si>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</si>
  <si>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</si>
  <si>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</si>
  <si>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</si>
  <si>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</si>
  <si>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</si>
  <si>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</si>
  <si>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</si>
  <si>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</si>
  <si>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</si>
  <si>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</si>
  <si>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</si>
  <si>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</si>
  <si>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</si>
  <si>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</si>
  <si>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</si>
  <si>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</si>
  <si>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</si>
  <si>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</si>
  <si>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</si>
  <si>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</si>
  <si>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</si>
  <si>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</si>
  <si>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</si>
  <si>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</si>
  <si>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</si>
  <si>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</si>
  <si>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</si>
  <si>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</si>
  <si>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</si>
  <si>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</si>
  <si>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</si>
  <si>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</si>
  <si>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</si>
  <si>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</si>
  <si>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</si>
  <si>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</si>
  <si>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</si>
  <si>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</si>
  <si>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</si>
  <si>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</si>
  <si>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</si>
  <si>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</si>
  <si>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</si>
  <si>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</si>
  <si>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</si>
  <si>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</si>
  <si>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</si>
  <si>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</si>
  <si>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</si>
  <si>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</si>
  <si>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</si>
  <si>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</si>
  <si>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</si>
  <si>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</si>
  <si>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</si>
  <si>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</si>
  <si>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</si>
  <si>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</si>
  <si>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</si>
  <si>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</si>
  <si>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</si>
  <si>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</si>
  <si>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</si>
  <si>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</si>
  <si>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</si>
  <si>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</si>
  <si>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</si>
  <si>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</si>
  <si>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</si>
  <si>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</si>
  <si>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</si>
  <si>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</si>
  <si>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</si>
  <si>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</si>
  <si>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</si>
  <si>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</si>
  <si>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</si>
  <si>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</si>
  <si>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</si>
  <si>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</si>
  <si>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</si>
  <si>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</si>
  <si>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</si>
  <si>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</si>
  <si>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</si>
  <si>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</si>
  <si>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</si>
  <si>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</si>
  <si>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</si>
  <si>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</si>
  <si>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</si>
  <si>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</si>
  <si>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</si>
  <si>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</si>
  <si>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</si>
  <si>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</si>
  <si>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</si>
  <si>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</si>
  <si>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</si>
  <si>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</si>
  <si>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</si>
  <si>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</si>
  <si>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</si>
  <si>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</si>
  <si>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</si>
  <si>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</si>
  <si>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</si>
  <si>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</si>
  <si>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</si>
  <si>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</si>
  <si>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</si>
  <si>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</si>
  <si>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</si>
  <si>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</si>
  <si>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</si>
  <si>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</si>
  <si>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</si>
  <si>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</si>
  <si>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</si>
  <si>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</si>
  <si>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</si>
  <si>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</si>
  <si>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</si>
  <si>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</si>
  <si>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</si>
  <si>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</si>
  <si>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</si>
  <si>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</si>
  <si>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</si>
  <si>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</si>
  <si>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</si>
  <si>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</si>
  <si>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</si>
  <si>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</si>
  <si>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</si>
  <si>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</si>
  <si>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</si>
  <si>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</si>
  <si>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</si>
  <si>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</si>
  <si>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</si>
  <si>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</si>
  <si>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</si>
  <si>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</si>
  <si>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</si>
  <si>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</si>
  <si>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</si>
  <si>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</si>
  <si>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</si>
  <si>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</si>
  <si>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</si>
  <si>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</si>
  <si>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</si>
  <si>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</si>
  <si>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</si>
  <si>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</si>
  <si>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</si>
  <si>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</si>
  <si>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</si>
  <si>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</si>
  <si>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</si>
  <si>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</si>
  <si>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</si>
  <si>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</si>
  <si>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</si>
  <si>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</si>
  <si>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</si>
  <si>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</si>
  <si>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</si>
  <si>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</si>
  <si>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</si>
  <si>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</si>
  <si>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</si>
  <si>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</si>
  <si>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</si>
  <si>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</si>
  <si>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</si>
  <si>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</si>
  <si>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</si>
  <si>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</si>
  <si>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</si>
  <si>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</si>
  <si>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</si>
  <si>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</si>
  <si>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</si>
  <si>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</si>
  <si>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</si>
  <si>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</si>
  <si>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</si>
  <si>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</si>
  <si>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</si>
  <si>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</si>
  <si>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</si>
  <si>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</si>
  <si>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</si>
  <si>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</si>
  <si>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</si>
  <si>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</si>
  <si>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</si>
  <si>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</si>
  <si>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</si>
  <si>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</si>
  <si>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</si>
  <si>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</si>
  <si>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</si>
  <si>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</si>
  <si>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</si>
  <si>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</si>
  <si>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</si>
  <si>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</si>
  <si>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</si>
  <si>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</si>
  <si>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</si>
  <si>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</si>
  <si>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</si>
  <si>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</si>
  <si>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</si>
  <si>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</si>
  <si>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</si>
  <si>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</si>
  <si>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</si>
  <si>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</si>
  <si>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</si>
  <si>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</si>
  <si>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</si>
  <si>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</si>
  <si>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</si>
  <si>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</si>
  <si>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</si>
  <si>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</si>
  <si>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</si>
  <si>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</si>
  <si>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</si>
  <si>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</si>
  <si>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</si>
  <si>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</si>
  <si>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</si>
  <si>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</si>
  <si>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</si>
  <si>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</si>
  <si>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</si>
  <si>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</si>
  <si>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</si>
  <si>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</si>
  <si>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</si>
  <si>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</si>
  <si>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</si>
  <si>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</si>
  <si>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</si>
  <si>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</si>
  <si>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</si>
  <si>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</si>
  <si>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</si>
  <si>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</si>
  <si>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</si>
  <si>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</si>
  <si>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</si>
  <si>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</si>
  <si>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</si>
  <si>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</si>
  <si>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</si>
  <si>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</si>
  <si>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</si>
  <si>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</si>
  <si>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</si>
  <si>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</si>
  <si>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</si>
  <si>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</si>
  <si>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</si>
  <si>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</si>
  <si>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</si>
  <si>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</si>
  <si>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</si>
  <si>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</si>
  <si>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</si>
  <si>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</si>
  <si>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</si>
  <si>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</si>
  <si>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</si>
  <si>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</si>
  <si>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</si>
  <si>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</si>
  <si>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</si>
  <si>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</si>
  <si>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</si>
  <si>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</si>
  <si>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</si>
  <si>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</si>
  <si>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</si>
  <si>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</si>
  <si>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</si>
  <si>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</si>
  <si>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</si>
  <si>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</si>
  <si>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</si>
  <si>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</si>
  <si>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</si>
  <si>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</si>
  <si>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</si>
  <si>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</si>
  <si>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</si>
  <si>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</si>
  <si>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</si>
  <si>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</si>
  <si>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</si>
  <si>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</si>
  <si>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</si>
  <si>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</si>
  <si>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</si>
  <si>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</si>
  <si>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</si>
  <si>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</si>
  <si>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</si>
  <si>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</si>
  <si>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</si>
  <si>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</si>
  <si>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</si>
  <si>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</si>
  <si>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</si>
  <si>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</si>
  <si>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</si>
  <si>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</si>
  <si>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</si>
  <si>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</si>
  <si>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</si>
  <si>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</si>
  <si>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</si>
  <si>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</si>
  <si>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</si>
  <si>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</si>
  <si>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</si>
  <si>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</si>
  <si>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</si>
  <si>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</si>
  <si>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</si>
  <si>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</si>
  <si>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</si>
  <si>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</si>
  <si>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</si>
  <si>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</si>
  <si>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</si>
  <si>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</si>
  <si>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</si>
  <si>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</si>
  <si>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</si>
  <si>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</si>
  <si>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</si>
  <si>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</si>
  <si>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</si>
  <si>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</si>
  <si>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</si>
  <si>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</si>
  <si>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</si>
  <si>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</si>
  <si>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</si>
  <si>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</si>
  <si>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</si>
  <si>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</si>
  <si>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</si>
  <si>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</si>
  <si>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</si>
  <si>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</si>
  <si>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</si>
  <si>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</si>
  <si>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</si>
  <si>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</si>
  <si>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</si>
  <si>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</si>
  <si>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</si>
  <si>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</si>
  <si>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</si>
  <si>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</si>
  <si>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</si>
  <si>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</si>
  <si>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</si>
  <si>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</si>
  <si>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</si>
  <si>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</si>
  <si>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</si>
  <si>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</si>
  <si>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</si>
  <si>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</si>
  <si>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</si>
  <si>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</si>
  <si>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</si>
  <si>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</si>
  <si>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</si>
  <si>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</si>
  <si>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</si>
  <si>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</si>
  <si>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</si>
  <si>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</si>
  <si>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</si>
  <si>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</si>
  <si>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</si>
  <si>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</si>
  <si>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</si>
  <si>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</si>
  <si>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</si>
  <si>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</si>
  <si>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</si>
  <si>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</si>
  <si>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</si>
  <si>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</si>
  <si>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</si>
  <si>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</si>
  <si>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</si>
  <si>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</si>
  <si>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</si>
  <si>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</si>
  <si>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</si>
  <si>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</si>
  <si>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</si>
  <si>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</si>
  <si>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</si>
  <si>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</si>
  <si>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</si>
  <si>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</si>
  <si>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</si>
  <si>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</si>
  <si>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</si>
  <si>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</si>
  <si>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</si>
  <si>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</si>
  <si>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</si>
  <si>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</si>
  <si>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</si>
  <si>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</si>
  <si>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</si>
  <si>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</si>
  <si>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</si>
  <si>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</si>
  <si>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</si>
  <si>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</si>
  <si>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</si>
  <si>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</si>
  <si>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</si>
  <si>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</si>
  <si>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</si>
  <si>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</si>
  <si>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</si>
  <si>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</si>
  <si>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</si>
  <si>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</si>
  <si>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</si>
  <si>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</si>
  <si>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</si>
  <si>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</si>
  <si>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</si>
  <si>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</si>
  <si>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</si>
  <si>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</si>
  <si>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</si>
  <si>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</si>
  <si>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</si>
  <si>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</si>
  <si>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</si>
  <si>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</si>
  <si>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</si>
  <si>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</si>
  <si>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</si>
  <si>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</si>
  <si>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</si>
  <si>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</si>
  <si>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</si>
  <si>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</si>
  <si>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</si>
  <si>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</si>
  <si>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</si>
  <si>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</si>
  <si>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</si>
  <si>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</si>
  <si>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</si>
  <si>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</si>
  <si>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</si>
  <si>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</si>
  <si>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</si>
  <si>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</si>
  <si>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</si>
  <si>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</si>
  <si>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</si>
  <si>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</si>
  <si>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</si>
  <si>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</si>
  <si>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</si>
  <si>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</si>
  <si>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</si>
  <si>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</si>
  <si>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</si>
  <si>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</si>
  <si>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</si>
  <si>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</si>
  <si>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</si>
  <si>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</si>
  <si>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</si>
  <si>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</si>
  <si>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</si>
  <si>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</si>
  <si>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</si>
  <si>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</si>
  <si>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</si>
  <si>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</si>
  <si>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</si>
  <si>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</si>
  <si>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</si>
  <si>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</si>
  <si>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</si>
  <si>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</si>
  <si>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</si>
  <si>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</si>
  <si>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</si>
  <si>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</si>
  <si>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</si>
  <si>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</si>
  <si>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</si>
  <si>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</si>
  <si>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</si>
  <si>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</si>
  <si>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</si>
  <si>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</si>
  <si>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</si>
  <si>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</si>
  <si>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</si>
  <si>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</si>
  <si>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</si>
  <si>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</si>
  <si>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</si>
  <si>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</si>
  <si>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</si>
  <si>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</si>
  <si>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</si>
  <si>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</si>
  <si>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</si>
  <si>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</si>
  <si>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</si>
  <si>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</si>
  <si>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</si>
  <si>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</si>
  <si>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</si>
  <si>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</si>
  <si>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</si>
  <si>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</si>
  <si>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</si>
  <si>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</si>
  <si>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</si>
  <si>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</si>
  <si>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</si>
  <si>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</si>
  <si>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</si>
  <si>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</si>
  <si>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</si>
  <si>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</si>
  <si>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</si>
  <si>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</si>
  <si>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</si>
  <si>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</si>
  <si>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</si>
  <si>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</si>
  <si>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</si>
  <si>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</si>
  <si>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</si>
  <si>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</si>
  <si>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</si>
  <si>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</si>
  <si>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</si>
  <si>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</si>
  <si>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</si>
  <si>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</si>
  <si>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</si>
  <si>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</si>
  <si>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</si>
  <si>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</si>
  <si>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</si>
  <si>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</si>
  <si>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</si>
  <si>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</si>
  <si>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</si>
  <si>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</si>
  <si>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</si>
  <si>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</si>
  <si>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</si>
  <si>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</si>
  <si>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</si>
  <si>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</si>
  <si>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</si>
  <si>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</si>
  <si>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</si>
  <si>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</si>
  <si>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</si>
  <si>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</si>
  <si>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</si>
  <si>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</si>
  <si>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</si>
  <si>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</si>
  <si>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</si>
  <si>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</si>
  <si>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</si>
  <si>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</si>
  <si>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</si>
  <si>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</si>
  <si>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</si>
  <si>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</si>
  <si>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</si>
  <si>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</si>
  <si>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</si>
  <si>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</si>
  <si>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</si>
  <si>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</si>
  <si>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</si>
  <si>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</si>
  <si>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</si>
  <si>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</si>
  <si>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</si>
  <si>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</si>
  <si>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</si>
  <si>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</si>
  <si>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</si>
  <si>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</si>
  <si>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</si>
  <si>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</si>
  <si>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</si>
  <si>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</si>
  <si>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</si>
  <si>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</si>
  <si>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</si>
  <si>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</si>
  <si>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</si>
  <si>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</si>
  <si>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</si>
  <si>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</si>
  <si>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</si>
  <si>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</si>
  <si>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</si>
  <si>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</si>
  <si>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</si>
  <si>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</si>
  <si>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</si>
  <si>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</si>
  <si>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</si>
  <si>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</si>
  <si>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</si>
  <si>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</si>
  <si>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</si>
  <si>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</si>
  <si>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</si>
  <si>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</si>
  <si>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</si>
  <si>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</si>
  <si>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</si>
  <si>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</si>
  <si>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</si>
  <si>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</si>
  <si>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</si>
  <si>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</si>
  <si>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</si>
  <si>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</si>
  <si>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</si>
  <si>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</si>
  <si>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</si>
  <si>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</si>
  <si>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</si>
  <si>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</si>
  <si>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</si>
  <si>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</si>
  <si>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</si>
  <si>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</si>
  <si>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</si>
  <si>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</si>
  <si>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</si>
  <si>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</si>
  <si>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</si>
  <si>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</si>
  <si>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</si>
  <si>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</si>
  <si>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</si>
  <si>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</si>
  <si>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</si>
  <si>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</si>
  <si>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</si>
  <si>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</si>
  <si>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</si>
  <si>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</si>
  <si>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</si>
  <si>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</si>
  <si>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</si>
  <si>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</si>
  <si>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</si>
  <si>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</si>
  <si>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</si>
  <si>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</si>
  <si>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</si>
  <si>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</si>
  <si>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</si>
  <si>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</si>
  <si>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</si>
  <si>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</si>
  <si>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</si>
  <si>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</si>
  <si>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</si>
  <si>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</si>
  <si>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</si>
  <si>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</si>
  <si>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</si>
  <si>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</si>
  <si>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</si>
  <si>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</si>
  <si>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</si>
  <si>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</si>
  <si>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</si>
  <si>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</si>
  <si>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</si>
  <si>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</si>
  <si>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</si>
  <si>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</si>
  <si>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</si>
  <si>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</si>
  <si>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</si>
  <si>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</si>
  <si>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</si>
  <si>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</si>
  <si>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</si>
  <si>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</si>
  <si>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</si>
  <si>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</si>
  <si>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</si>
  <si>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</si>
  <si>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</si>
  <si>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</si>
  <si>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</si>
  <si>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</si>
  <si>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</si>
  <si>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</si>
  <si>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</si>
  <si>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</si>
  <si>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</si>
  <si>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</si>
  <si>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</si>
  <si>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</si>
  <si>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</si>
  <si>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</si>
  <si>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</si>
  <si>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</si>
  <si>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</si>
  <si>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</si>
  <si>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</si>
  <si>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</si>
  <si>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</si>
  <si>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</si>
  <si>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</si>
  <si>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</si>
  <si>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</si>
  <si>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</si>
  <si>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</si>
  <si>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</si>
  <si>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</si>
  <si>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</si>
  <si>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</si>
  <si>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</si>
  <si>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</si>
  <si>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</si>
  <si>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</si>
  <si>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</si>
  <si>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</si>
  <si>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</si>
  <si>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</si>
  <si>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</si>
  <si>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</si>
  <si>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</si>
  <si>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</si>
  <si>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</si>
  <si>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</si>
  <si>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</si>
  <si>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</si>
  <si>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</si>
  <si>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</si>
  <si>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</si>
  <si>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</si>
  <si>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</si>
  <si>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</si>
  <si>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</si>
  <si>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</si>
  <si>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</si>
  <si>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</si>
  <si>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</si>
  <si>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</si>
  <si>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</si>
  <si>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</si>
  <si>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</si>
  <si>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</si>
  <si>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</si>
  <si>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</si>
  <si>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</si>
  <si>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</si>
  <si>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</si>
  <si>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</si>
  <si>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</si>
  <si>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</si>
  <si>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</si>
  <si>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</si>
  <si>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</si>
  <si>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</si>
  <si>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</si>
  <si>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</si>
  <si>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</si>
  <si>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</si>
  <si>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</si>
  <si>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</si>
  <si>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</si>
  <si>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</si>
  <si>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</si>
  <si>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</si>
  <si>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</si>
  <si>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</si>
  <si>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</si>
  <si>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</si>
  <si>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</si>
  <si>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</si>
  <si>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</si>
  <si>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</si>
  <si>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</si>
  <si>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</si>
  <si>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</si>
  <si>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</si>
  <si>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</si>
  <si>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</si>
  <si>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</si>
  <si>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</si>
  <si>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</si>
  <si>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</si>
  <si>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</si>
  <si>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</si>
  <si>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</si>
  <si>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</si>
  <si>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</si>
  <si>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</si>
  <si>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</si>
  <si>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</si>
  <si>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</si>
  <si>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</si>
  <si>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</si>
  <si>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</si>
  <si>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</si>
  <si>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</si>
  <si>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</si>
  <si>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</si>
  <si>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</si>
  <si>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</si>
  <si>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</si>
  <si>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</si>
  <si>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</si>
  <si>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</si>
  <si>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</si>
  <si>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</si>
  <si>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</si>
  <si>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</si>
  <si>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</si>
  <si>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</si>
  <si>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</si>
  <si>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</si>
  <si>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</si>
  <si>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</si>
  <si>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</si>
  <si>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</si>
  <si>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</si>
  <si>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</si>
  <si>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</si>
  <si>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</si>
  <si>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</si>
  <si>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</si>
  <si>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</si>
  <si>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</si>
  <si>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</si>
  <si>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</si>
  <si>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</si>
  <si>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</si>
  <si>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</si>
  <si>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</si>
  <si>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</si>
  <si>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</si>
  <si>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</si>
  <si>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</si>
  <si>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</si>
  <si>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</si>
  <si>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</si>
  <si>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</si>
  <si>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</si>
  <si>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</si>
  <si>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</si>
  <si>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</si>
  <si>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</si>
  <si>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</si>
  <si>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</si>
  <si>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</si>
  <si>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</si>
  <si>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</si>
  <si>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</si>
  <si>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</si>
  <si>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</si>
  <si>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</si>
  <si>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</si>
  <si>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</si>
  <si>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</si>
  <si>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</si>
  <si>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</si>
  <si>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</si>
  <si>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</si>
  <si>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</si>
  <si>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</si>
  <si>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</si>
  <si>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</si>
  <si>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</si>
  <si>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</si>
  <si>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</si>
  <si>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</si>
  <si>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</si>
  <si>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</si>
  <si>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</si>
  <si>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</si>
  <si>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</si>
  <si>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</si>
  <si>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</si>
  <si>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</si>
  <si>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</si>
  <si>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</si>
  <si>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</si>
  <si>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</si>
  <si>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</si>
  <si>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</si>
  <si>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</si>
  <si>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</si>
  <si>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</si>
  <si>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</si>
  <si>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</si>
  <si>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</si>
  <si>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</si>
  <si>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</si>
  <si>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</si>
  <si>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</si>
  <si>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</si>
  <si>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</si>
  <si>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</si>
  <si>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</si>
  <si>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</si>
  <si>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</si>
  <si>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</si>
  <si>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</si>
  <si>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</si>
  <si>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</si>
  <si>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</si>
  <si>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</si>
  <si>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</si>
  <si>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</si>
  <si>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</si>
  <si>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</si>
  <si>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</si>
  <si>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</si>
  <si>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</si>
  <si>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</si>
  <si>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</si>
  <si>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</si>
  <si>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</si>
  <si>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</si>
  <si>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</si>
  <si>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</si>
  <si>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</si>
  <si>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</si>
  <si>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</si>
  <si>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</si>
  <si>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</si>
  <si>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</si>
  <si>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</si>
  <si>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</si>
  <si>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</si>
  <si>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</si>
  <si>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</si>
  <si>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</si>
  <si>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</si>
  <si>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</si>
  <si>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</si>
  <si>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</si>
  <si>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</si>
  <si>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</si>
  <si>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</si>
  <si>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</si>
  <si>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</si>
  <si>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</si>
  <si>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</si>
  <si>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</si>
  <si>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</si>
  <si>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</si>
  <si>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</si>
  <si>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</si>
  <si>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</si>
  <si>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</si>
  <si>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</si>
  <si>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</si>
  <si>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</si>
  <si>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</si>
  <si>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</si>
  <si>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</si>
  <si>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</si>
  <si>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</si>
  <si>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</si>
  <si>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</si>
  <si>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</si>
  <si>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</si>
  <si>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</si>
  <si>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</si>
  <si>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</si>
  <si>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</si>
  <si>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</si>
  <si>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</si>
  <si>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</si>
  <si>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</si>
  <si>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</si>
  <si>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</si>
  <si>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</si>
  <si>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</si>
  <si>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</si>
  <si>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</si>
  <si>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</si>
  <si>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</si>
  <si>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</si>
  <si>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</si>
  <si>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</si>
  <si>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</si>
  <si>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</si>
  <si>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</si>
  <si>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</si>
  <si>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</si>
  <si>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</si>
  <si>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</si>
  <si>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</si>
  <si>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</si>
  <si>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</si>
  <si>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</si>
  <si>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</si>
  <si>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</si>
  <si>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</si>
  <si>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</si>
  <si>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</si>
  <si>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</si>
  <si>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</si>
  <si>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</si>
  <si>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</si>
  <si>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</si>
  <si>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</si>
  <si>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</si>
  <si>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</si>
  <si>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</si>
  <si>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</si>
  <si>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</si>
  <si>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</si>
  <si>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</si>
  <si>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</si>
  <si>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</si>
  <si>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</si>
  <si>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</si>
  <si>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</si>
  <si>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</si>
  <si>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</si>
  <si>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</si>
  <si>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</si>
  <si>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</si>
  <si>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</si>
  <si>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</si>
  <si>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</si>
  <si>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</si>
  <si>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</si>
  <si>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</si>
  <si>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</si>
  <si>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</si>
  <si>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</si>
  <si>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</si>
  <si>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</si>
  <si>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</si>
  <si>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</si>
  <si>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</si>
  <si>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</si>
  <si>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</si>
  <si>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</si>
  <si>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</si>
  <si>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</si>
  <si>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</si>
  <si>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</si>
  <si>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</si>
  <si>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</si>
  <si>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</si>
  <si>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</si>
  <si>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</si>
  <si>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</si>
  <si>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</si>
  <si>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</si>
  <si>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</si>
  <si>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</si>
  <si>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</si>
  <si>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</si>
  <si>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</si>
  <si>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</si>
  <si>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</si>
  <si>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</si>
  <si>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</si>
  <si>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</si>
  <si>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</si>
  <si>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</si>
  <si>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</si>
  <si>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</si>
  <si>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</si>
  <si>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</si>
  <si>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</si>
  <si>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</si>
  <si>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</si>
  <si>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</si>
  <si>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</si>
  <si>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</si>
  <si>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</si>
  <si>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</si>
  <si>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</si>
  <si>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</si>
  <si>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</si>
  <si>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</si>
  <si>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</si>
  <si>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</si>
  <si>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</si>
  <si>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</si>
  <si>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</si>
  <si>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</si>
  <si>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</si>
  <si>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</si>
  <si>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</si>
  <si>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</si>
  <si>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</si>
  <si>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</si>
  <si>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</si>
  <si>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</si>
  <si>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</si>
  <si>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</si>
  <si>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</si>
  <si>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</si>
  <si>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</si>
  <si>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</si>
  <si>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</si>
  <si>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</si>
  <si>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</si>
  <si>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</si>
  <si>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</si>
  <si>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</si>
  <si>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</si>
  <si>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</si>
  <si>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</si>
  <si>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</si>
  <si>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</si>
  <si>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</si>
  <si>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</si>
  <si>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</si>
  <si>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</si>
  <si>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</si>
  <si>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</si>
  <si>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</si>
  <si>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</si>
  <si>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</si>
  <si>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</si>
  <si>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</si>
  <si>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</si>
  <si>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</si>
  <si>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</si>
  <si>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</si>
  <si>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</si>
  <si>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</si>
  <si>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</si>
  <si>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</si>
  <si>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</si>
  <si>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</si>
  <si>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</si>
  <si>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</si>
  <si>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</si>
  <si>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</si>
  <si>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</si>
  <si>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</si>
  <si>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</si>
  <si>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</si>
  <si>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</si>
  <si>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</si>
  <si>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</si>
  <si>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</si>
  <si>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</si>
  <si>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</si>
  <si>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</si>
  <si>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</si>
  <si>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</si>
  <si>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</si>
  <si>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</si>
  <si>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</si>
  <si>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</si>
  <si>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</si>
  <si>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</si>
  <si>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</si>
  <si>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</si>
  <si>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</si>
  <si>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</si>
  <si>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</si>
  <si>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</si>
  <si>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</si>
  <si>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</si>
  <si>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</si>
  <si>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</si>
  <si>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</si>
  <si>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</si>
  <si>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</si>
  <si>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</si>
  <si>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</si>
  <si>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</si>
  <si>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</si>
  <si>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</si>
  <si>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</si>
  <si>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</si>
  <si>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</si>
  <si>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</si>
  <si>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</si>
  <si>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</si>
  <si>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</si>
  <si>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</si>
  <si>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</si>
  <si>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</si>
  <si>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</si>
  <si>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</si>
  <si>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</si>
  <si>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</si>
  <si>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</si>
  <si>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</si>
  <si>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</si>
  <si>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</si>
  <si>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</si>
  <si>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</si>
  <si>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</si>
  <si>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</si>
  <si>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</si>
  <si>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</si>
  <si>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</si>
  <si>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</si>
  <si>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</si>
  <si>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</si>
  <si>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</si>
  <si>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</si>
  <si>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</si>
  <si>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</si>
  <si>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</si>
  <si>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</si>
  <si>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</si>
  <si>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</si>
  <si>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</si>
  <si>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</si>
  <si>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</si>
  <si>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</si>
  <si>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</si>
  <si>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</si>
  <si>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</si>
  <si>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</si>
  <si>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</si>
  <si>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</si>
  <si>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</si>
  <si>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</si>
  <si>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</si>
  <si>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</si>
  <si>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</si>
  <si>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</si>
  <si>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</si>
  <si>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</si>
  <si>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</si>
  <si>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</si>
  <si>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</si>
  <si>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</si>
  <si>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</si>
  <si>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</si>
  <si>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</si>
  <si>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</si>
  <si>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</si>
  <si>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</si>
  <si>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</si>
  <si>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</si>
  <si>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</si>
  <si>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</si>
  <si>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</si>
  <si>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</si>
  <si>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</si>
  <si>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</si>
  <si>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</si>
  <si>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</si>
  <si>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</si>
  <si>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</si>
  <si>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</si>
  <si>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</si>
  <si>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</si>
  <si>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</si>
  <si>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</si>
  <si>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</si>
  <si>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</si>
  <si>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</si>
  <si>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</si>
  <si>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</si>
  <si>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</si>
  <si>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</si>
  <si>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</si>
  <si>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</si>
  <si>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</si>
  <si>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</si>
  <si>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</si>
  <si>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</si>
  <si>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</si>
  <si>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</si>
  <si>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</si>
  <si>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</si>
  <si>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</si>
  <si>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</si>
  <si>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</si>
  <si>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</si>
  <si>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</si>
  <si>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</si>
  <si>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</si>
  <si>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</si>
  <si>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</si>
  <si>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</si>
  <si>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</si>
  <si>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</si>
  <si>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</si>
  <si>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</si>
  <si>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</si>
  <si>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</si>
  <si>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</si>
  <si>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</si>
  <si>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</si>
  <si>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</si>
  <si>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</si>
  <si>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</si>
  <si>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</si>
  <si>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</si>
  <si>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</si>
  <si>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</si>
  <si>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</si>
  <si>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</si>
  <si>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</si>
  <si>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</si>
  <si>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</si>
  <si>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</si>
  <si>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</si>
  <si>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</si>
  <si>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</si>
  <si>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</si>
  <si>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</si>
  <si>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</si>
  <si>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</si>
  <si>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</si>
  <si>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</si>
  <si>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</si>
  <si>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</si>
  <si>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</si>
  <si>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</si>
  <si>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</si>
  <si>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</si>
  <si>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</si>
  <si>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</si>
  <si>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</si>
  <si>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</si>
  <si>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</si>
  <si>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</si>
  <si>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</si>
  <si>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</si>
  <si>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</si>
  <si>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</si>
  <si>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</si>
  <si>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</si>
  <si>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</si>
  <si>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</si>
  <si>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</si>
  <si>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</si>
  <si>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</si>
  <si>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</si>
  <si>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</si>
  <si>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</si>
  <si>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</si>
  <si>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</si>
  <si>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</si>
  <si>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</si>
  <si>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</si>
  <si>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</si>
  <si>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</si>
  <si>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</si>
  <si>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</si>
  <si>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</si>
  <si>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</si>
  <si>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</si>
  <si>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</si>
  <si>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</si>
  <si>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</si>
  <si>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</si>
  <si>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</si>
  <si>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</si>
  <si>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</si>
  <si>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</si>
  <si>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</si>
  <si>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</si>
  <si>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</si>
  <si>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</si>
  <si>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</si>
  <si>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</si>
  <si>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</si>
  <si>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</si>
  <si>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</si>
  <si>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</si>
  <si>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</si>
  <si>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</si>
  <si>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</si>
  <si>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</si>
  <si>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</si>
  <si>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</si>
  <si>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</si>
  <si>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</si>
  <si>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</si>
  <si>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</si>
  <si>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</si>
  <si>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</si>
  <si>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</si>
  <si>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</si>
  <si>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</si>
  <si>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</si>
  <si>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</si>
  <si>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</si>
  <si>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</si>
  <si>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</si>
  <si>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</si>
  <si>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</si>
  <si>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</si>
  <si>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</si>
  <si>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</si>
  <si>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</si>
  <si>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</si>
  <si>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</si>
  <si>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</si>
  <si>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</si>
  <si>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</si>
  <si>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</si>
  <si>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</si>
  <si>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</si>
  <si>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</si>
  <si>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</si>
  <si>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</si>
  <si>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</si>
  <si>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</si>
  <si>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</si>
  <si>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</si>
  <si>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</si>
  <si>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</si>
  <si>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</si>
  <si>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</si>
  <si>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</si>
  <si>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</si>
  <si>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</si>
  <si>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</si>
  <si>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</si>
  <si>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</si>
  <si>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</si>
  <si>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</si>
  <si>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</si>
  <si>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</si>
  <si>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</si>
  <si>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</si>
  <si>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</si>
  <si>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</si>
  <si>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</si>
  <si>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</si>
  <si>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</si>
  <si>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</si>
  <si>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</si>
  <si>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</si>
  <si>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</si>
  <si>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</si>
  <si>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</si>
  <si>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</si>
  <si>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</si>
  <si>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</si>
  <si>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</si>
  <si>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</si>
  <si>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</si>
  <si>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</si>
  <si>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</si>
  <si>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</si>
  <si>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</si>
  <si>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</si>
  <si>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</si>
  <si>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</si>
  <si>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</si>
  <si>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</si>
  <si>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</si>
  <si>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</si>
  <si>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</si>
  <si>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</si>
  <si>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</si>
  <si>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</si>
  <si>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</si>
  <si>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</si>
  <si>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</si>
  <si>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</si>
  <si>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</si>
  <si>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</si>
  <si>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</si>
  <si>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</si>
  <si>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</si>
  <si>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</si>
  <si>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</si>
  <si>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</si>
  <si>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</si>
  <si>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</si>
  <si>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</si>
  <si>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</si>
  <si>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</si>
  <si>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</si>
  <si>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</si>
  <si>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</si>
  <si>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</si>
  <si>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</si>
  <si>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</si>
  <si>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</si>
  <si>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</si>
  <si>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</si>
  <si>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</si>
  <si>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</si>
  <si>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</si>
  <si>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</si>
  <si>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</si>
  <si>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</si>
  <si>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</si>
  <si>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</si>
  <si>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</si>
  <si>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</si>
  <si>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</si>
  <si>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</si>
  <si>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</si>
  <si>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</si>
  <si>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</si>
  <si>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</si>
  <si>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</si>
  <si>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</si>
  <si>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</si>
  <si>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</si>
  <si>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</si>
  <si>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</si>
  <si>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</si>
  <si>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</si>
  <si>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</si>
  <si>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</si>
  <si>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</si>
  <si>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</si>
  <si>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</si>
  <si>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</si>
  <si>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</si>
  <si>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</si>
  <si>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</si>
  <si>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</si>
  <si>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</si>
  <si>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</si>
  <si>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</si>
  <si>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</si>
  <si>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</si>
  <si>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</si>
  <si>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</si>
  <si>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</si>
  <si>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</si>
  <si>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</si>
  <si>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</si>
  <si>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</si>
  <si>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</si>
  <si>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</si>
  <si>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</si>
  <si>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</si>
  <si>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</si>
  <si>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</si>
  <si>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</si>
  <si>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</si>
  <si>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</si>
  <si>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</si>
  <si>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</si>
  <si>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</si>
  <si>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</si>
  <si>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</si>
  <si>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</si>
  <si>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</si>
  <si>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</si>
  <si>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</si>
  <si>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</si>
  <si>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</si>
  <si>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</si>
  <si>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</si>
  <si>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</si>
  <si>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</si>
  <si>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</si>
  <si>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</si>
  <si>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</si>
  <si>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</si>
  <si>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</si>
  <si>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</si>
  <si>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</si>
  <si>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</si>
  <si>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</si>
  <si>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</si>
  <si>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</si>
  <si>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</si>
  <si>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</si>
  <si>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</si>
  <si>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</si>
  <si>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</si>
  <si>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</si>
  <si>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</si>
  <si>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</si>
  <si>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</si>
  <si>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</si>
  <si>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</si>
  <si>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</si>
  <si>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</si>
  <si>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</si>
  <si>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</si>
  <si>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</si>
  <si>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</si>
  <si>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</si>
  <si>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</si>
  <si>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</si>
  <si>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</si>
  <si>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</si>
  <si>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</si>
  <si>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</si>
  <si>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</si>
  <si>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</si>
  <si>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</si>
  <si>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</si>
  <si>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</si>
  <si>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</si>
  <si>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</si>
  <si>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</si>
  <si>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</si>
  <si>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</si>
  <si>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</si>
  <si>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</si>
  <si>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</si>
  <si>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</si>
  <si>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</si>
  <si>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</si>
  <si>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</si>
  <si>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</si>
  <si>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</si>
  <si>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</si>
  <si>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</si>
  <si>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</si>
  <si>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</si>
  <si>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</si>
  <si>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</si>
  <si>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</si>
  <si>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</si>
  <si>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</si>
  <si>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</si>
  <si>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</si>
  <si>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</si>
  <si>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</si>
  <si>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</si>
  <si>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</si>
  <si>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</si>
  <si>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</si>
  <si>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</si>
  <si>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</si>
  <si>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</si>
  <si>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</si>
  <si>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</si>
  <si>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</si>
  <si>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</si>
  <si>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</si>
  <si>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</si>
  <si>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</si>
  <si>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</si>
  <si>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</si>
  <si>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</si>
  <si>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</si>
  <si>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</si>
  <si>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</si>
  <si>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</si>
  <si>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</si>
  <si>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</si>
  <si>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</si>
  <si>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</si>
  <si>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</si>
  <si>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</si>
  <si>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</si>
  <si>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</si>
  <si>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</si>
  <si>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</si>
  <si>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</si>
  <si>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</si>
  <si>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</si>
  <si>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</si>
  <si>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</si>
  <si>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</si>
  <si>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</si>
  <si>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</si>
  <si>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</si>
  <si>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</si>
  <si>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</si>
  <si>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</si>
  <si>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</si>
  <si>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</si>
  <si>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</si>
  <si>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</si>
  <si>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</si>
  <si>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</si>
  <si>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</si>
  <si>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</si>
  <si>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</si>
  <si>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</si>
  <si>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</si>
  <si>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</si>
  <si>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</si>
  <si>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</si>
  <si>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</si>
  <si>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</si>
  <si>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</si>
  <si>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</si>
  <si>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</si>
  <si>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</si>
  <si>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</si>
  <si>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</si>
  <si>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</si>
  <si>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</si>
  <si>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</si>
  <si>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</si>
  <si>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</si>
  <si>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</si>
  <si>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</si>
  <si>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</si>
  <si>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</si>
  <si>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</si>
  <si>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</si>
  <si>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</si>
  <si>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</si>
  <si>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</si>
  <si>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</si>
  <si>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</si>
  <si>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</si>
  <si>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</si>
  <si>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</si>
  <si>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</si>
  <si>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</si>
  <si>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</si>
  <si>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</si>
  <si>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</si>
  <si>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</si>
  <si>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</si>
  <si>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</si>
  <si>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</si>
  <si>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</si>
  <si>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</si>
  <si>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</si>
  <si>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</si>
  <si>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</si>
  <si>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</si>
  <si>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</si>
  <si>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</si>
  <si>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</si>
  <si>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</si>
  <si>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</si>
  <si>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</si>
  <si>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</si>
  <si>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</si>
  <si>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</si>
  <si>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</si>
  <si>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</si>
  <si>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</si>
  <si>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</si>
  <si>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</si>
  <si>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</si>
  <si>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</si>
  <si>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</si>
  <si>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</si>
  <si>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</si>
  <si>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</si>
  <si>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</si>
  <si>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</si>
  <si>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</si>
  <si>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</si>
  <si>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</si>
  <si>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</si>
  <si>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</si>
  <si>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</si>
  <si>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</si>
  <si>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</si>
  <si>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</si>
  <si>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</si>
  <si>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</si>
  <si>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</si>
  <si>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</si>
  <si>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</si>
  <si>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</si>
  <si>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</si>
  <si>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</si>
  <si>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</si>
  <si>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</si>
  <si>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</si>
  <si>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</si>
  <si>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</si>
  <si>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</si>
  <si>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</si>
  <si>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</si>
  <si>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</si>
  <si>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</si>
  <si>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</si>
  <si>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</si>
  <si>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</si>
  <si>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</si>
  <si>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</si>
  <si>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</si>
  <si>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</si>
  <si>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</si>
  <si>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</si>
  <si>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</si>
  <si>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</si>
  <si>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</si>
  <si>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</si>
  <si>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</si>
  <si>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</si>
  <si>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</si>
  <si>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</si>
  <si>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</si>
  <si>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</si>
  <si>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</si>
  <si>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</si>
  <si>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</si>
  <si>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</si>
  <si>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</si>
  <si>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</si>
  <si>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</si>
  <si>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</si>
  <si>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</si>
  <si>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</si>
  <si>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</si>
  <si>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</si>
  <si>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</si>
  <si>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</si>
  <si>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</si>
  <si>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</si>
  <si>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</si>
  <si>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</si>
  <si>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</si>
  <si>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</si>
  <si>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</si>
  <si>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</si>
  <si>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</si>
  <si>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</si>
  <si>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</si>
  <si>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</si>
  <si>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</si>
  <si>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</si>
  <si>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</si>
  <si>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</si>
  <si>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</si>
  <si>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</si>
  <si>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</si>
  <si>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</si>
  <si>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</si>
  <si>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</si>
  <si>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</si>
  <si>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</si>
  <si>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</si>
  <si>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</si>
  <si>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</si>
  <si>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</si>
  <si>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</si>
  <si>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</si>
  <si>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</si>
  <si>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</si>
  <si>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</si>
  <si>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</si>
  <si>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</si>
  <si>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</si>
  <si>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</si>
  <si>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</si>
  <si>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</si>
  <si>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</si>
  <si>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</si>
  <si>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</si>
  <si>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</si>
  <si>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</si>
  <si>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</si>
  <si>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</si>
  <si>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</si>
  <si>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</si>
  <si>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</si>
  <si>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</si>
  <si>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</si>
  <si>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</si>
  <si>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</si>
  <si>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</si>
  <si>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</si>
  <si>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</si>
  <si>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</si>
  <si>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</si>
  <si>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</si>
  <si>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</si>
  <si>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</si>
  <si>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</si>
  <si>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</si>
  <si>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</si>
  <si>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</si>
  <si>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</si>
  <si>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</si>
  <si>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</si>
  <si>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</si>
  <si>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</si>
  <si>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</si>
  <si>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</si>
  <si>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</si>
  <si>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</si>
  <si>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</si>
  <si>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</si>
  <si>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</si>
  <si>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</si>
  <si>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</si>
  <si>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</si>
  <si>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</si>
  <si>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</si>
  <si>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</si>
  <si>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</si>
  <si>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</si>
  <si>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</si>
  <si>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</si>
  <si>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</si>
  <si>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</si>
  <si>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</si>
  <si>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</si>
  <si>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</si>
  <si>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</si>
  <si>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</si>
  <si>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</si>
  <si>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</si>
  <si>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</si>
  <si>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</si>
  <si>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</si>
  <si>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</si>
  <si>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</si>
  <si>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</si>
  <si>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</si>
  <si>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</si>
  <si>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</si>
  <si>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</si>
  <si>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</si>
  <si>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</si>
  <si>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</si>
  <si>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</si>
  <si>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</si>
  <si>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</si>
  <si>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</si>
  <si>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</si>
  <si>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</si>
  <si>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</si>
  <si>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</si>
  <si>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</si>
  <si>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</si>
  <si>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</si>
  <si>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</si>
  <si>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</si>
  <si>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</si>
  <si>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</si>
  <si>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</si>
  <si>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</si>
  <si>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</si>
  <si>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</si>
  <si>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</si>
  <si>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</si>
  <si>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</si>
  <si>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</si>
  <si>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</si>
  <si>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</si>
  <si>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</si>
  <si>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</si>
  <si>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</si>
  <si>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</si>
  <si>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</si>
  <si>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</si>
  <si>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</si>
  <si>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</si>
  <si>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</si>
  <si>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</si>
  <si>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</si>
  <si>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</si>
  <si>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</si>
  <si>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</si>
  <si>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</si>
  <si>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</si>
  <si>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</si>
  <si>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</si>
  <si>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</si>
  <si>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</si>
  <si>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</si>
  <si>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</si>
  <si>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</si>
  <si>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</si>
  <si>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</si>
  <si>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</si>
  <si>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</si>
  <si>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</si>
  <si>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</si>
  <si>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</si>
  <si>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</si>
  <si>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</si>
  <si>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</si>
  <si>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</si>
  <si>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</si>
  <si>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</si>
  <si>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</si>
  <si>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</si>
  <si>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</si>
  <si>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</si>
  <si>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</si>
  <si>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</si>
  <si>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</si>
  <si>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</si>
  <si>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</si>
  <si>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</si>
  <si>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</si>
  <si>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</si>
  <si>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</si>
  <si>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</si>
  <si>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</si>
  <si>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</si>
  <si>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</si>
  <si>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</si>
  <si>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</si>
  <si>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</si>
  <si>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</si>
  <si>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</si>
  <si>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</si>
  <si>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</si>
  <si>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</si>
  <si>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</si>
  <si>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</si>
  <si>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</si>
  <si>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</si>
  <si>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</si>
  <si>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</si>
  <si>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</si>
  <si>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</si>
  <si>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</si>
  <si>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</si>
  <si>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</si>
  <si>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</si>
  <si>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</si>
  <si>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</si>
  <si>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</si>
  <si>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</si>
  <si>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</si>
  <si>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</si>
  <si>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</si>
  <si>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</si>
  <si>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</si>
  <si>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</si>
  <si>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</si>
  <si>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</si>
  <si>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</si>
  <si>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</si>
  <si>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</si>
  <si>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</si>
  <si>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</si>
  <si>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</si>
  <si>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</si>
  <si>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</si>
  <si>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</si>
  <si>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</si>
  <si>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</si>
  <si>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</si>
  <si>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</si>
  <si>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</si>
  <si>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</si>
  <si>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</si>
  <si>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</si>
  <si>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</si>
  <si>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</si>
  <si>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</si>
  <si>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</si>
  <si>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</si>
  <si>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</si>
  <si>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</si>
  <si>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</si>
  <si>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</si>
  <si>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</si>
  <si>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</si>
  <si>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</si>
  <si>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</si>
  <si>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</si>
  <si>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</si>
  <si>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</si>
  <si>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</si>
  <si>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</si>
  <si>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</si>
  <si>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</si>
  <si>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</si>
  <si>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</si>
  <si>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</si>
  <si>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</si>
  <si>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</si>
  <si>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</si>
  <si>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</si>
  <si>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</si>
  <si>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</si>
  <si>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</si>
  <si>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</si>
  <si>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</si>
  <si>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</si>
  <si>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</si>
  <si>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</si>
  <si>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</si>
  <si>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</si>
  <si>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</si>
  <si>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</si>
  <si>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</si>
  <si>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</si>
  <si>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</si>
  <si>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</si>
  <si>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</si>
  <si>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</si>
  <si>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</si>
  <si>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</si>
  <si>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</si>
  <si>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</si>
  <si>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</si>
  <si>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</si>
  <si>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</si>
  <si>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</si>
  <si>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</si>
  <si>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</si>
  <si>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</si>
  <si>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</si>
  <si>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</si>
  <si>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</si>
  <si>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</si>
  <si>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</si>
  <si>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</si>
  <si>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</si>
  <si>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</si>
  <si>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</si>
  <si>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</si>
  <si>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</si>
  <si>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</si>
  <si>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</si>
  <si>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</si>
  <si>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</si>
  <si>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</si>
  <si>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</si>
  <si>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</si>
  <si>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</si>
  <si>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</si>
  <si>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</si>
  <si>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</si>
  <si>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</si>
  <si>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</si>
  <si>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</si>
  <si>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</si>
  <si>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</si>
  <si>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</si>
  <si>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</si>
  <si>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</si>
  <si>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</si>
  <si>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</si>
  <si>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</si>
  <si>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</si>
  <si>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</si>
  <si>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</si>
  <si>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</si>
  <si>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</si>
  <si>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</si>
  <si>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</si>
  <si>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</si>
  <si>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</si>
  <si>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</si>
  <si>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</si>
  <si>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</si>
  <si>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</si>
  <si>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</si>
  <si>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</si>
  <si>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</si>
  <si>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</si>
  <si>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</si>
  <si>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</si>
  <si>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</si>
  <si>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</si>
  <si>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</si>
  <si>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</si>
  <si>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</si>
  <si>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</si>
  <si>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</si>
  <si>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</si>
  <si>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</si>
  <si>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</si>
  <si>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</si>
  <si>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</si>
  <si>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</si>
  <si>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</si>
  <si>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</si>
  <si>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</si>
  <si>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</si>
  <si>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</si>
  <si>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</si>
  <si>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</si>
  <si>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</si>
  <si>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</si>
  <si>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</si>
  <si>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</si>
  <si>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</si>
  <si>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</si>
  <si>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</si>
  <si>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</si>
  <si>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</si>
  <si>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</si>
  <si>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</si>
  <si>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</si>
  <si>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</si>
  <si>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</si>
  <si>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</si>
  <si>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</si>
  <si>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</si>
  <si>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</si>
  <si>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</si>
  <si>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</si>
  <si>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</si>
  <si>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</si>
  <si>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</si>
  <si>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</si>
  <si>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</si>
  <si>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</si>
  <si>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</si>
  <si>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</si>
  <si>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</si>
  <si>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</si>
  <si>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</si>
  <si>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</si>
  <si>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</si>
  <si>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</si>
  <si>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</si>
  <si>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</si>
  <si>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</si>
  <si>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</si>
  <si>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</si>
  <si>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</si>
  <si>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</si>
  <si>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</si>
  <si>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</si>
  <si>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</si>
  <si>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</si>
  <si>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</si>
  <si>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</si>
  <si>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</si>
  <si>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</si>
  <si>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</si>
  <si>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</si>
  <si>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</si>
  <si>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</si>
  <si>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</si>
  <si>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</si>
  <si>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</si>
  <si>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</si>
  <si>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</si>
  <si>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</si>
  <si>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</si>
  <si>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</si>
  <si>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</si>
  <si>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</si>
  <si>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</si>
  <si>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</si>
  <si>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</si>
  <si>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</si>
  <si>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</si>
  <si>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</si>
  <si>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</si>
  <si>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</si>
  <si>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</si>
  <si>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</si>
  <si>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</si>
  <si>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</si>
  <si>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</si>
  <si>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</si>
  <si>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</si>
  <si>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</si>
  <si>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</si>
  <si>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</si>
  <si>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</si>
  <si>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</si>
  <si>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</si>
  <si>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</si>
  <si>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</si>
  <si>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</si>
  <si>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</si>
  <si>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</si>
  <si>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</si>
  <si>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</si>
  <si>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</si>
  <si>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</si>
  <si>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</si>
  <si>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</si>
  <si>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</si>
  <si>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</si>
  <si>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</si>
  <si>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</si>
  <si>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</si>
  <si>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</si>
  <si>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</si>
  <si>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</si>
  <si>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</si>
  <si>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</si>
  <si>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</si>
  <si>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</si>
  <si>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</si>
  <si>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</si>
  <si>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</si>
  <si>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</si>
  <si>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</si>
  <si>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</si>
  <si>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</si>
  <si>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</si>
  <si>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</si>
  <si>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</si>
  <si>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</si>
  <si>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</si>
  <si>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</si>
  <si>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</si>
  <si>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</si>
  <si>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</si>
  <si>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</si>
  <si>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</si>
  <si>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</si>
  <si>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</si>
  <si>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</si>
  <si>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</si>
  <si>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</si>
  <si>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</si>
  <si>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</si>
  <si>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</si>
  <si>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</si>
  <si>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</si>
  <si>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</si>
  <si>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</si>
  <si>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</si>
  <si>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</si>
  <si>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</si>
  <si>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</si>
  <si>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</si>
  <si>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</si>
  <si>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</si>
  <si>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</si>
  <si>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</si>
  <si>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</si>
  <si>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</si>
  <si>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</si>
  <si>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</si>
  <si>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</si>
  <si>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</si>
  <si>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</si>
  <si>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</si>
  <si>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</si>
  <si>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</si>
  <si>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</si>
  <si>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</si>
  <si>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</si>
  <si>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</si>
  <si>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</si>
  <si>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</si>
  <si>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</si>
  <si>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</si>
  <si>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</si>
  <si>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</si>
  <si>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</si>
  <si>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</si>
  <si>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</si>
  <si>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</si>
  <si>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</si>
  <si>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</si>
  <si>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</si>
  <si>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</si>
  <si>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</si>
  <si>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</si>
  <si>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</si>
  <si>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</si>
  <si>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</si>
  <si>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</si>
  <si>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</si>
  <si>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</si>
  <si>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</si>
  <si>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</si>
  <si>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</si>
  <si>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</si>
  <si>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</si>
  <si>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</si>
  <si>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</si>
  <si>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</si>
  <si>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</si>
  <si>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</si>
  <si>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</si>
  <si>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</si>
  <si>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</si>
  <si>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</si>
  <si>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</si>
  <si>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</si>
  <si>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</si>
  <si>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</si>
  <si>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</si>
  <si>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</si>
  <si>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</si>
  <si>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</si>
  <si>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</si>
  <si>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</si>
  <si>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</si>
  <si>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</si>
  <si>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</si>
  <si>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</si>
  <si>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</si>
  <si>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</si>
  <si>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</si>
  <si>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</si>
  <si>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</si>
  <si>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</si>
  <si>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</si>
  <si>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</si>
  <si>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</si>
  <si>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</si>
  <si>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</si>
  <si>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</si>
  <si>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</si>
  <si>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</si>
  <si>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</si>
  <si>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</si>
  <si>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</si>
  <si>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</si>
  <si>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</si>
  <si>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</si>
  <si>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</si>
  <si>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</si>
  <si>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</si>
  <si>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</si>
  <si>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</si>
  <si>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</si>
  <si>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</si>
  <si>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</si>
  <si>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</si>
  <si>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</si>
  <si>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</si>
  <si>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</si>
  <si>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</si>
  <si>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</si>
  <si>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</si>
  <si>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</si>
  <si>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</si>
  <si>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</si>
  <si>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</si>
  <si>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</si>
  <si>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</si>
  <si>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</si>
  <si>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</si>
  <si>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</si>
  <si>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</si>
  <si>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</si>
  <si>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</si>
  <si>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</si>
  <si>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</si>
  <si>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</si>
  <si>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</si>
  <si>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</si>
  <si>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</si>
  <si>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</si>
  <si>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</si>
  <si>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</si>
  <si>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</si>
  <si>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</si>
  <si>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</si>
  <si>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</si>
  <si>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</si>
  <si>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</si>
  <si>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</si>
  <si>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</si>
  <si>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</si>
  <si>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</si>
  <si>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</si>
  <si>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</si>
  <si>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</si>
  <si>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</si>
  <si>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</si>
  <si>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</si>
  <si>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</si>
  <si>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</si>
  <si>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</si>
  <si>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</si>
  <si>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</si>
  <si>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</si>
  <si>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</si>
  <si>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</si>
  <si>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</si>
  <si>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</si>
  <si>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</si>
  <si>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</si>
  <si>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</si>
  <si>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</si>
  <si>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</si>
  <si>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</si>
  <si>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</si>
  <si>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</si>
  <si>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</si>
  <si>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</si>
  <si>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</si>
  <si>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</si>
  <si>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</si>
  <si>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</si>
  <si>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</si>
  <si>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</si>
  <si>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</si>
  <si>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</si>
  <si>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</si>
  <si>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</si>
  <si>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</si>
  <si>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</si>
  <si>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</si>
  <si>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</si>
  <si>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</si>
  <si>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</si>
  <si>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</si>
  <si>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</si>
  <si>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</si>
  <si>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</si>
  <si>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</si>
  <si>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</si>
  <si>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</si>
  <si>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</si>
  <si>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</si>
  <si>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</si>
  <si>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</si>
  <si>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</si>
  <si>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</si>
  <si>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</si>
  <si>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</si>
  <si>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</si>
  <si>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</si>
  <si>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</si>
  <si>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</si>
  <si>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</si>
  <si>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</si>
  <si>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</si>
  <si>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</si>
  <si>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</si>
  <si>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</si>
  <si>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</si>
  <si>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</si>
  <si>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</si>
  <si>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</si>
  <si>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</si>
  <si>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</si>
  <si>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</si>
  <si>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</si>
  <si>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</si>
  <si>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</si>
  <si>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</si>
  <si>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</si>
  <si>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</si>
  <si>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</si>
  <si>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</si>
  <si>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</si>
  <si>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</si>
  <si>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</si>
  <si>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</si>
  <si>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</si>
  <si>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</si>
  <si>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</si>
  <si>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</si>
  <si>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</si>
  <si>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</si>
  <si>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</si>
  <si>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</si>
  <si>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</si>
  <si>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</si>
  <si>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</si>
  <si>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</si>
  <si>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</si>
  <si>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</si>
  <si>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</si>
  <si>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</si>
  <si>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</si>
  <si>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</si>
  <si>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</si>
  <si>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</si>
  <si>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</si>
  <si>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</si>
  <si>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</si>
  <si>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</si>
  <si>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</si>
  <si>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</si>
  <si>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</si>
  <si>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</si>
  <si>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</si>
  <si>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</si>
  <si>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</si>
  <si>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</si>
  <si>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</si>
  <si>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</si>
  <si>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</si>
  <si>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</si>
  <si>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</si>
  <si>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</si>
  <si>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</si>
  <si>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</si>
  <si>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</si>
  <si>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</si>
  <si>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</si>
  <si>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</si>
  <si>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</si>
  <si>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</si>
  <si>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</si>
  <si>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</si>
  <si>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</si>
  <si>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</si>
  <si>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</si>
  <si>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</si>
  <si>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</si>
  <si>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</si>
  <si>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</si>
  <si>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</si>
  <si>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</si>
  <si>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</si>
  <si>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</si>
  <si>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</si>
  <si>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</si>
  <si>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</si>
  <si>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</si>
  <si>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</si>
  <si>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</si>
  <si>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</si>
  <si>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</si>
  <si>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</si>
  <si>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</si>
  <si>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</si>
  <si>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</si>
  <si>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</si>
  <si>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</si>
  <si>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</si>
  <si>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</si>
  <si>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</si>
  <si>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</si>
  <si>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</si>
  <si>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</si>
  <si>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</si>
  <si>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</si>
  <si>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</si>
  <si>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</si>
  <si>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</si>
  <si>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</si>
  <si>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</si>
  <si>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</si>
  <si>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</si>
  <si>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</si>
  <si>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</si>
  <si>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</si>
  <si>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</si>
  <si>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</si>
  <si>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</si>
  <si>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</si>
  <si>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</si>
  <si>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</si>
  <si>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</si>
  <si>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</si>
  <si>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</si>
  <si>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</si>
  <si>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</si>
  <si>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</si>
  <si>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</si>
  <si>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</si>
  <si>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</si>
  <si>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</si>
  <si>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</si>
  <si>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</si>
  <si>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</si>
  <si>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</si>
  <si>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</si>
  <si>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</si>
  <si>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</si>
  <si>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</si>
  <si>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</si>
  <si>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</si>
  <si>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</si>
  <si>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</si>
  <si>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</si>
  <si>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</si>
  <si>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</si>
  <si>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</si>
  <si>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</si>
  <si>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</si>
  <si>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</si>
  <si>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</si>
  <si>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</si>
  <si>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</si>
  <si>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</si>
  <si>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</si>
  <si>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</si>
  <si>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</si>
  <si>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</si>
  <si>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</si>
  <si>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</si>
  <si>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</si>
  <si>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</si>
  <si>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</si>
  <si>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</si>
  <si>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</si>
  <si>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</si>
  <si>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</si>
  <si>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</si>
  <si>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</si>
  <si>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</si>
  <si>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</si>
  <si>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</si>
  <si>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</si>
  <si>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</si>
  <si>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</si>
  <si>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</si>
  <si>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</si>
  <si>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</si>
  <si>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</si>
  <si>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</si>
  <si>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</si>
  <si>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</si>
  <si>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</si>
  <si>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</si>
  <si>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</si>
  <si>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</si>
  <si>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</si>
  <si>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</si>
  <si>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</si>
  <si>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</si>
  <si>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</si>
  <si>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</si>
  <si>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</si>
  <si>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</si>
  <si>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</si>
  <si>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</si>
  <si>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</si>
  <si>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</si>
  <si>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</si>
  <si>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</si>
  <si>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</si>
  <si>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</si>
  <si>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</si>
  <si>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</si>
  <si>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</si>
  <si>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</si>
  <si>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</si>
  <si>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</si>
  <si>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</si>
  <si>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</si>
  <si>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</si>
  <si>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</si>
  <si>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</si>
  <si>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</si>
  <si>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</si>
  <si>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</si>
  <si>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</si>
  <si>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</si>
  <si>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</si>
  <si>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</si>
  <si>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</si>
  <si>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</si>
  <si>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</si>
  <si>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</si>
  <si>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</si>
  <si>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</si>
  <si>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</si>
  <si>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</si>
  <si>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</si>
  <si>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</si>
  <si>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</si>
  <si>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</si>
  <si>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</si>
  <si>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</si>
  <si>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</si>
  <si>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</si>
  <si>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</si>
  <si>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</si>
  <si>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</si>
  <si>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</si>
  <si>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</si>
  <si>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</si>
  <si>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</si>
  <si>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</si>
  <si>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</si>
  <si>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</si>
  <si>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</si>
  <si>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</si>
  <si>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</si>
  <si>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</si>
  <si>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</si>
  <si>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</si>
  <si>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</si>
  <si>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</si>
  <si>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</si>
  <si>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</si>
  <si>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</si>
  <si>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</si>
  <si>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</si>
  <si>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</si>
  <si>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</si>
  <si>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</si>
  <si>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</si>
  <si>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</si>
  <si>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</si>
  <si>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</si>
  <si>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</si>
  <si>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</si>
  <si>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</si>
  <si>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</si>
  <si>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</si>
  <si>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</si>
  <si>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</si>
  <si>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</si>
  <si>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</si>
  <si>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</si>
  <si>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</si>
  <si>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</si>
  <si>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</si>
  <si>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</si>
  <si>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</si>
  <si>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</si>
  <si>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</si>
  <si>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</si>
  <si>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</si>
  <si>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</si>
  <si>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</si>
  <si>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</si>
  <si>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</si>
  <si>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</si>
  <si>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</si>
  <si>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</si>
  <si>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</si>
  <si>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</si>
  <si>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</si>
  <si>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</si>
  <si>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</si>
  <si>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</si>
  <si>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</si>
  <si>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</si>
  <si>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</si>
  <si>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</si>
  <si>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</si>
  <si>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</si>
  <si>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</si>
  <si>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</si>
  <si>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</si>
  <si>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</si>
  <si>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</si>
  <si>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</si>
  <si>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</si>
  <si>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</si>
  <si>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</si>
  <si>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</si>
  <si>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</si>
  <si>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</si>
  <si>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</si>
  <si>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</si>
  <si>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</si>
  <si>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</si>
  <si>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</si>
  <si>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</si>
  <si>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</si>
  <si>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</si>
  <si>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</si>
  <si>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</si>
  <si>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</si>
  <si>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</si>
  <si>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</si>
  <si>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</si>
  <si>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</si>
  <si>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</si>
  <si>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</si>
  <si>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</si>
  <si>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</si>
  <si>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</si>
  <si>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</si>
  <si>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</si>
  <si>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</si>
  <si>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</si>
  <si>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</si>
  <si>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</si>
  <si>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</si>
  <si>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</si>
  <si>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</si>
  <si>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</si>
  <si>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</si>
  <si>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</si>
  <si>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</si>
  <si>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</si>
  <si>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</si>
  <si>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</si>
  <si>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</si>
  <si>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</si>
  <si>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</si>
  <si>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</si>
  <si>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</si>
  <si>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</si>
  <si>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</si>
  <si>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</si>
  <si>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</si>
  <si>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</si>
  <si>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</si>
  <si>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</si>
  <si>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</si>
  <si>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</si>
  <si>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</si>
  <si>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</si>
  <si>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</si>
  <si>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</si>
  <si>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</si>
  <si>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</si>
  <si>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</si>
  <si>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</si>
  <si>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</si>
  <si>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</si>
  <si>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</si>
  <si>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</si>
  <si>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</si>
  <si>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</si>
  <si>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</si>
  <si>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</si>
  <si>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</si>
  <si>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</si>
  <si>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</si>
  <si>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</si>
  <si>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</si>
  <si>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</si>
  <si>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</si>
  <si>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</si>
  <si>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</si>
  <si>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</si>
  <si>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</si>
  <si>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</si>
  <si>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</si>
  <si>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</si>
  <si>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</si>
  <si>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</si>
  <si>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</si>
  <si>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</si>
  <si>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</si>
  <si>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</si>
  <si>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</si>
  <si>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</si>
  <si>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</si>
  <si>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</si>
  <si>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</si>
  <si>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</si>
  <si>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</si>
  <si>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</si>
  <si>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</si>
  <si>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</si>
  <si>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</si>
  <si>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</si>
  <si>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</si>
  <si>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</si>
  <si>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</si>
  <si>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</si>
  <si>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</si>
  <si>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</si>
  <si>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</si>
  <si>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</si>
  <si>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</si>
  <si>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</si>
  <si>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</si>
  <si>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</si>
  <si>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</si>
  <si>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</si>
  <si>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</si>
  <si>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</si>
  <si>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</si>
  <si>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</si>
  <si>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</si>
  <si>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</si>
  <si>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</si>
  <si>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</si>
  <si>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</si>
  <si>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</si>
  <si>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</si>
  <si>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</si>
  <si>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</si>
  <si>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</si>
  <si>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</si>
  <si>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</si>
  <si>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</si>
  <si>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</si>
  <si>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</si>
  <si>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</si>
  <si>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</si>
  <si>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</si>
  <si>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</si>
  <si>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</si>
  <si>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</si>
  <si>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</si>
  <si>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</si>
  <si>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</si>
  <si>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</si>
  <si>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</si>
  <si>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</si>
  <si>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</si>
  <si>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</si>
  <si>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</si>
  <si>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</si>
  <si>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</si>
  <si>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</si>
  <si>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</si>
  <si>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</si>
  <si>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</si>
  <si>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</si>
  <si>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</si>
  <si>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</si>
  <si>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</si>
  <si>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</si>
  <si>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</si>
  <si>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</si>
  <si>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</si>
  <si>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</si>
  <si>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</si>
  <si>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</si>
  <si>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</si>
  <si>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</si>
  <si>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</si>
  <si>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</si>
  <si>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</si>
  <si>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</si>
  <si>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</si>
  <si>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</si>
  <si>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</si>
  <si>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</si>
  <si>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</si>
  <si>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</si>
  <si>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</si>
  <si>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</si>
  <si>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</si>
  <si>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</si>
  <si>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</si>
  <si>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</si>
  <si>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</si>
  <si>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</si>
  <si>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</si>
  <si>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</si>
  <si>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</si>
  <si>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</si>
  <si>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</si>
  <si>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</si>
  <si>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</si>
  <si>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</si>
  <si>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</si>
  <si>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</si>
  <si>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</si>
  <si>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</si>
  <si>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</si>
  <si>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</si>
  <si>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</si>
  <si>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</si>
  <si>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</si>
  <si>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</si>
  <si>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</si>
  <si>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</si>
  <si>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</si>
  <si>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</si>
  <si>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</si>
  <si>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</si>
  <si>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</si>
  <si>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</si>
  <si>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</si>
  <si>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</si>
  <si>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</si>
  <si>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</si>
  <si>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</si>
  <si>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</si>
  <si>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</si>
  <si>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</si>
  <si>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</si>
  <si>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</si>
  <si>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</si>
  <si>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</si>
  <si>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</si>
  <si>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</si>
  <si>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</si>
  <si>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</si>
  <si>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</si>
  <si>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</si>
  <si>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</si>
  <si>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</si>
  <si>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</si>
  <si>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</si>
  <si>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</si>
  <si>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</si>
  <si>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</si>
  <si>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</si>
  <si>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</si>
  <si>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</si>
  <si>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</si>
  <si>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</si>
  <si>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</si>
  <si>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</si>
  <si>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</si>
  <si>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</si>
  <si>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</si>
  <si>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</si>
  <si>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</si>
  <si>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</si>
  <si>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</si>
  <si>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</si>
  <si>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</si>
  <si>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</si>
  <si>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</si>
  <si>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</si>
  <si>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</si>
  <si>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</si>
  <si>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</si>
  <si>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</si>
  <si>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</si>
  <si>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</si>
  <si>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</si>
  <si>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</si>
  <si>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</si>
  <si>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</si>
  <si>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</si>
  <si>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</si>
  <si>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</si>
  <si>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</si>
  <si>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</si>
  <si>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</si>
  <si>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</si>
  <si>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</si>
  <si>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</si>
  <si>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</si>
  <si>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</si>
  <si>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</si>
  <si>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</si>
  <si>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</si>
  <si>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</si>
  <si>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</si>
  <si>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</si>
  <si>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</si>
  <si>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</si>
  <si>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</si>
  <si>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</si>
  <si>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</si>
  <si>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</si>
  <si>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</si>
  <si>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</si>
  <si>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</si>
  <si>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</si>
  <si>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</si>
  <si>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</si>
  <si>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</si>
  <si>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</si>
  <si>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</si>
  <si>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</si>
  <si>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</si>
  <si>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</si>
  <si>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</si>
  <si>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</si>
  <si>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</si>
  <si>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</si>
  <si>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</si>
  <si>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</si>
  <si>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</si>
  <si>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</si>
  <si>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</si>
  <si>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</si>
  <si>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</si>
  <si>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</si>
  <si>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</si>
  <si>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</si>
  <si>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</si>
  <si>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</si>
  <si>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</si>
  <si>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</si>
  <si>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</si>
  <si>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</si>
  <si>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</si>
  <si>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</si>
  <si>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</si>
  <si>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</si>
  <si>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</si>
  <si>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</si>
  <si>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</si>
  <si>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</si>
  <si>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</si>
  <si>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</si>
  <si>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</si>
  <si>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</si>
  <si>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</si>
  <si>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</si>
  <si>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</si>
  <si>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</si>
  <si>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</si>
  <si>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</si>
  <si>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</si>
  <si>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</si>
  <si>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</si>
  <si>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</si>
  <si>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</si>
  <si>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</si>
  <si>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</si>
  <si>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</si>
  <si>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</si>
  <si>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</si>
  <si>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</si>
  <si>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</si>
  <si>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</si>
  <si>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</si>
  <si>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</si>
  <si>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</si>
  <si>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</si>
  <si>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</si>
  <si>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</si>
  <si>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</si>
  <si>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</si>
  <si>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</si>
  <si>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</si>
  <si>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</si>
  <si>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</si>
  <si>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</si>
  <si>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</si>
  <si>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</si>
  <si>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</si>
  <si>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</si>
  <si>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</si>
  <si>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</si>
  <si>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</si>
  <si>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</si>
  <si>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</si>
  <si>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</si>
  <si>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</si>
  <si>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</si>
  <si>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</si>
  <si>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</si>
  <si>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</si>
  <si>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</si>
  <si>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</si>
  <si>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</si>
  <si>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</si>
  <si>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</si>
  <si>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</si>
  <si>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</si>
  <si>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</si>
  <si>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</si>
  <si>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</si>
  <si>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</si>
  <si>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</si>
  <si>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</si>
  <si>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</si>
  <si>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</si>
  <si>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</si>
  <si>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</si>
  <si>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</si>
  <si>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</si>
  <si>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</si>
  <si>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</si>
  <si>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</si>
  <si>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</si>
  <si>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</si>
  <si>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</si>
  <si>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</si>
  <si>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</si>
  <si>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</si>
  <si>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</si>
  <si>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</si>
  <si>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</si>
  <si>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</si>
  <si>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</si>
  <si>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</si>
  <si>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</si>
  <si>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</si>
  <si>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</si>
  <si>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</si>
  <si>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</si>
  <si>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</si>
  <si>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</si>
  <si>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</si>
  <si>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</si>
  <si>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</si>
  <si>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</si>
  <si>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</si>
  <si>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</si>
  <si>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</si>
  <si>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</si>
  <si>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</si>
  <si>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</si>
  <si>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</si>
  <si>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</si>
  <si>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</si>
  <si>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</si>
  <si>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</si>
  <si>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</si>
  <si>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</si>
  <si>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</si>
  <si>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</si>
  <si>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</si>
  <si>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</si>
  <si>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</si>
  <si>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</si>
  <si>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</si>
  <si>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</si>
  <si>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</si>
  <si>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</si>
  <si>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</si>
  <si>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</si>
  <si>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</si>
  <si>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</si>
  <si>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</si>
  <si>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</si>
  <si>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</si>
  <si>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</si>
  <si>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</si>
  <si>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</si>
  <si>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</si>
  <si>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</si>
  <si>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</si>
  <si>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</si>
  <si>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</si>
  <si>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</si>
  <si>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</si>
  <si>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</si>
  <si>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</si>
  <si>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</si>
  <si>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</si>
  <si>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</si>
  <si>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</si>
  <si>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</si>
  <si>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</si>
  <si>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</si>
  <si>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</si>
  <si>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</si>
  <si>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</si>
  <si>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</si>
  <si>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</si>
  <si>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</si>
  <si>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</si>
  <si>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</si>
  <si>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</si>
  <si>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</si>
  <si>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</si>
  <si>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</si>
  <si>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</si>
  <si>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</si>
  <si>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</si>
  <si>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</si>
  <si>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</si>
  <si>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</si>
  <si>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</si>
  <si>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</si>
  <si>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</si>
  <si>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</si>
  <si>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</si>
  <si>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</si>
  <si>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</si>
  <si>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</si>
  <si>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</si>
  <si>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</si>
  <si>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</si>
  <si>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</si>
  <si>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</si>
  <si>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</si>
  <si>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</si>
  <si>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</si>
  <si>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</si>
  <si>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</si>
  <si>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</si>
  <si>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</si>
  <si>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</si>
  <si>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</si>
  <si>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</si>
  <si>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</si>
  <si>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</si>
  <si>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</si>
  <si>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</si>
  <si>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</si>
  <si>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</si>
  <si>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</si>
  <si>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</si>
  <si>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</si>
  <si>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</si>
  <si>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</si>
  <si>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</si>
  <si>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</si>
  <si>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</si>
  <si>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</si>
  <si>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</si>
  <si>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</si>
  <si>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</si>
  <si>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</si>
  <si>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</si>
  <si>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</si>
  <si>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</si>
  <si>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</si>
  <si>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</si>
  <si>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</si>
  <si>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</si>
  <si>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</si>
  <si>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</si>
  <si>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</si>
  <si>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</si>
  <si>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</si>
  <si>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</si>
  <si>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</si>
  <si>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</si>
  <si>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</si>
  <si>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</si>
  <si>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</si>
  <si>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</si>
  <si>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</si>
  <si>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</si>
  <si>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</si>
  <si>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</si>
  <si>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</si>
  <si>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</si>
  <si>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</si>
  <si>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</si>
  <si>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</si>
  <si>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</si>
  <si>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</si>
  <si>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</si>
  <si>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</si>
  <si>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</si>
  <si>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</si>
  <si>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</si>
  <si>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</si>
  <si>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</si>
  <si>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</si>
  <si>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</si>
  <si>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</si>
  <si>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</si>
  <si>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</si>
  <si>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</si>
  <si>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</si>
  <si>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</si>
  <si>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</si>
  <si>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</si>
  <si>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</si>
  <si>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</si>
  <si>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</si>
  <si>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</si>
  <si>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</si>
  <si>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</si>
  <si>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</si>
  <si>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</si>
  <si>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</si>
  <si>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</si>
  <si>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</si>
  <si>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</si>
  <si>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</si>
  <si>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</si>
  <si>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</si>
  <si>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</si>
  <si>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</si>
  <si>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</si>
  <si>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</si>
  <si>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</si>
  <si>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</si>
  <si>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</si>
  <si>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</si>
  <si>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</si>
  <si>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</si>
  <si>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</si>
  <si>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</si>
  <si>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</si>
  <si>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</si>
  <si>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</si>
  <si>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</si>
  <si>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</si>
  <si>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</si>
  <si>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</si>
  <si>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</si>
  <si>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</si>
  <si>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</si>
  <si>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</si>
  <si>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</si>
  <si>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</si>
  <si>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</si>
  <si>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</si>
  <si>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</si>
  <si>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</si>
  <si>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</si>
  <si>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</si>
  <si>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</si>
  <si>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</si>
  <si>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</si>
  <si>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</si>
  <si>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</si>
  <si>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</si>
  <si>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</si>
  <si>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</si>
  <si>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</si>
  <si>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</si>
  <si>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</si>
  <si>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</si>
  <si>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</si>
  <si>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</si>
  <si>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</si>
  <si>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</si>
  <si>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</si>
  <si>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</si>
  <si>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</si>
  <si>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</si>
  <si>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</si>
  <si>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</si>
  <si>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</si>
  <si>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</si>
  <si>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</si>
  <si>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</si>
  <si>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</si>
  <si>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</si>
  <si>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</si>
  <si>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</si>
  <si>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</si>
  <si>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</si>
  <si>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</si>
  <si>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</si>
  <si>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</si>
  <si>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</si>
  <si>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</si>
  <si>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</si>
  <si>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</si>
  <si>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</si>
  <si>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</si>
  <si>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</si>
  <si>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</si>
  <si>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</si>
  <si>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</si>
  <si>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</si>
  <si>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</si>
  <si>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</si>
  <si>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</si>
  <si>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</si>
  <si>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</si>
  <si>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</si>
  <si>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</si>
  <si>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</si>
  <si>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</si>
  <si>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</si>
  <si>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</si>
  <si>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</si>
  <si>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</si>
  <si>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</si>
  <si>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</si>
  <si>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</si>
  <si>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</si>
  <si>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</si>
  <si>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</si>
  <si>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</si>
  <si>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</si>
  <si>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</si>
  <si>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</si>
  <si>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</si>
  <si>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</si>
  <si>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</si>
  <si>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</si>
  <si>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</si>
  <si>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</si>
  <si>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</si>
  <si>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</si>
  <si>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</si>
  <si>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</si>
  <si>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</si>
  <si>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</si>
  <si>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</si>
  <si>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</si>
  <si>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</si>
  <si>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</si>
  <si>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</si>
  <si>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</si>
  <si>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</si>
  <si>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</si>
  <si>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</si>
  <si>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</si>
  <si>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</si>
  <si>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</si>
  <si>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</si>
  <si>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</si>
  <si>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</si>
  <si>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</si>
  <si>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</si>
  <si>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</si>
  <si>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</si>
  <si>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</si>
  <si>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</si>
  <si>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</si>
  <si>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</si>
  <si>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</si>
  <si>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</si>
  <si>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</si>
  <si>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</si>
  <si>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</si>
  <si>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</si>
  <si>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</si>
  <si>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</si>
  <si>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</si>
  <si>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</si>
  <si>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</si>
  <si>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</si>
  <si>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</si>
  <si>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بدهی به داریوش 23/8/98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</si>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</sst>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5350</v>
      </c>
      <c r="P49" s="18">
        <v>-50000</v>
      </c>
      <c r="Q49" s="99">
        <v>3</v>
      </c>
      <c r="R49" s="99"/>
      <c r="S49" s="96"/>
      <c r="T49" s="96"/>
    </row>
    <row r="50" spans="1:20">
      <c r="A50" s="96"/>
      <c r="B50" s="96"/>
      <c r="E50" s="96"/>
      <c r="F50" s="96"/>
      <c r="O50" s="99" t="s">
        <v>5356</v>
      </c>
      <c r="P50" s="18">
        <v>-1683146</v>
      </c>
      <c r="Q50" s="99">
        <v>10</v>
      </c>
      <c r="R50" s="99"/>
      <c r="S50" s="96"/>
      <c r="T50" s="96"/>
    </row>
    <row r="51" spans="1:20">
      <c r="A51" s="96"/>
      <c r="B51" s="96"/>
      <c r="E51" s="96"/>
      <c r="F51" s="96"/>
      <c r="O51" s="99" t="s">
        <v>5381</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5355</v>
      </c>
      <c r="I95" t="s">
        <v>25</v>
      </c>
    </row>
    <row r="96" spans="1:21">
      <c r="D96" s="18">
        <v>-230000</v>
      </c>
      <c r="E96" s="255" t="s">
        <v>5370</v>
      </c>
    </row>
    <row r="97" spans="4:10">
      <c r="D97" s="18">
        <v>-168950</v>
      </c>
      <c r="E97" s="255" t="s">
        <v>4402</v>
      </c>
      <c r="J97" t="s">
        <v>25</v>
      </c>
    </row>
    <row r="98" spans="4:10">
      <c r="D98" s="18">
        <v>-250000</v>
      </c>
      <c r="E98" s="255" t="s">
        <v>5385</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5350</v>
      </c>
      <c r="B335" s="113">
        <v>2200472</v>
      </c>
      <c r="C335" s="99">
        <v>1</v>
      </c>
      <c r="D335" s="99">
        <f t="shared" si="27"/>
        <v>13</v>
      </c>
      <c r="E335" s="99">
        <f t="shared" si="28"/>
        <v>0</v>
      </c>
      <c r="F335" s="99">
        <f t="shared" si="29"/>
        <v>28606136</v>
      </c>
      <c r="G335" s="99"/>
      <c r="H335" t="s">
        <v>25</v>
      </c>
    </row>
    <row r="336" spans="1:9">
      <c r="A336" s="99" t="s">
        <v>5360</v>
      </c>
      <c r="B336" s="113">
        <v>-28000</v>
      </c>
      <c r="C336" s="99">
        <v>2</v>
      </c>
      <c r="D336" s="99">
        <f t="shared" si="27"/>
        <v>12</v>
      </c>
      <c r="E336" s="99">
        <f t="shared" si="28"/>
        <v>1</v>
      </c>
      <c r="F336" s="99">
        <f t="shared" si="29"/>
        <v>-308000</v>
      </c>
      <c r="G336" s="99"/>
    </row>
    <row r="337" spans="1:13">
      <c r="A337" s="99" t="s">
        <v>5356</v>
      </c>
      <c r="B337" s="113">
        <v>2500000</v>
      </c>
      <c r="C337" s="99">
        <v>0</v>
      </c>
      <c r="D337" s="99">
        <f t="shared" si="27"/>
        <v>10</v>
      </c>
      <c r="E337" s="99">
        <f t="shared" si="28"/>
        <v>0</v>
      </c>
      <c r="F337" s="99">
        <f t="shared" si="29"/>
        <v>25000000</v>
      </c>
      <c r="G337" s="99"/>
    </row>
    <row r="338" spans="1:13">
      <c r="A338" s="99" t="s">
        <v>5356</v>
      </c>
      <c r="B338" s="113">
        <v>-407500</v>
      </c>
      <c r="C338" s="99">
        <v>2</v>
      </c>
      <c r="D338" s="99">
        <f t="shared" si="27"/>
        <v>10</v>
      </c>
      <c r="E338" s="99">
        <f t="shared" si="28"/>
        <v>0</v>
      </c>
      <c r="F338" s="99">
        <f t="shared" si="29"/>
        <v>-4075000</v>
      </c>
      <c r="G338" s="99"/>
    </row>
    <row r="339" spans="1:13">
      <c r="A339" s="99" t="s">
        <v>5361</v>
      </c>
      <c r="B339" s="113">
        <v>-3600</v>
      </c>
      <c r="C339" s="99">
        <v>1</v>
      </c>
      <c r="D339" s="99">
        <f t="shared" si="27"/>
        <v>8</v>
      </c>
      <c r="E339" s="99">
        <f t="shared" si="28"/>
        <v>0</v>
      </c>
      <c r="F339" s="99">
        <f t="shared" si="29"/>
        <v>-28800</v>
      </c>
      <c r="G339" s="99"/>
    </row>
    <row r="340" spans="1:13">
      <c r="A340" s="99" t="s">
        <v>5372</v>
      </c>
      <c r="B340" s="113">
        <v>-170094</v>
      </c>
      <c r="C340" s="99">
        <v>1</v>
      </c>
      <c r="D340" s="99">
        <f t="shared" si="27"/>
        <v>7</v>
      </c>
      <c r="E340" s="99">
        <f t="shared" si="28"/>
        <v>0</v>
      </c>
      <c r="F340" s="99">
        <f t="shared" si="29"/>
        <v>-1190658</v>
      </c>
      <c r="G340" s="99"/>
      <c r="J340" t="s">
        <v>25</v>
      </c>
    </row>
    <row r="341" spans="1:13">
      <c r="A341" s="99" t="s">
        <v>5363</v>
      </c>
      <c r="B341" s="113">
        <v>-51730</v>
      </c>
      <c r="C341" s="99">
        <v>1</v>
      </c>
      <c r="D341" s="99">
        <f t="shared" si="27"/>
        <v>6</v>
      </c>
      <c r="E341" s="99">
        <f t="shared" si="28"/>
        <v>0</v>
      </c>
      <c r="F341" s="99">
        <f t="shared" si="29"/>
        <v>-310380</v>
      </c>
      <c r="G341" s="99"/>
    </row>
    <row r="342" spans="1:13">
      <c r="A342" s="99" t="s">
        <v>5373</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5376</v>
      </c>
      <c r="B345" s="113">
        <v>-566500</v>
      </c>
      <c r="C345" s="99">
        <v>1</v>
      </c>
      <c r="D345" s="99">
        <f t="shared" si="27"/>
        <v>2</v>
      </c>
      <c r="E345" s="99">
        <f t="shared" si="28"/>
        <v>0</v>
      </c>
      <c r="F345" s="99">
        <f t="shared" si="29"/>
        <v>-1133000</v>
      </c>
      <c r="G345" s="99"/>
      <c r="K345" t="s">
        <v>25</v>
      </c>
    </row>
    <row r="346" spans="1:13">
      <c r="A346" s="99" t="s">
        <v>5378</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P357" zoomScale="85" zoomScaleNormal="85" workbookViewId="0">
      <selection activeCell="T353" sqref="T3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768527614.56944084</v>
      </c>
      <c r="M21" s="168" t="s">
        <v>4292</v>
      </c>
      <c r="N21" s="113">
        <f t="shared" ref="N21:N25" si="9">O21*P21</f>
        <v>490660911.59999996</v>
      </c>
      <c r="O21" s="99">
        <v>1638814</v>
      </c>
      <c r="P21" s="185">
        <f>P47</f>
        <v>299.39999999999998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3596474</v>
      </c>
      <c r="O22" s="99">
        <v>655</v>
      </c>
      <c r="P22" s="185">
        <f>P44</f>
        <v>5490.8</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5244725.5</v>
      </c>
      <c r="O23" s="99">
        <v>791</v>
      </c>
      <c r="P23" s="185">
        <f>P46</f>
        <v>6630.5</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657822781.96944082</v>
      </c>
      <c r="G24" s="95">
        <f t="shared" si="0"/>
        <v>-377516436.58750218</v>
      </c>
      <c r="H24" s="11"/>
      <c r="I24" s="96"/>
      <c r="J24" s="96"/>
      <c r="K24" s="213"/>
      <c r="L24" s="117"/>
      <c r="M24" s="213" t="s">
        <v>5215</v>
      </c>
      <c r="N24" s="113">
        <f t="shared" si="9"/>
        <v>0</v>
      </c>
      <c r="O24" s="99">
        <v>0</v>
      </c>
      <c r="P24" s="185">
        <f>P48</f>
        <v>3250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124113532</v>
      </c>
      <c r="O25" s="99">
        <v>156808</v>
      </c>
      <c r="P25" s="185">
        <f>P45</f>
        <v>791.5</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1589332</v>
      </c>
      <c r="O28" s="69">
        <v>2008</v>
      </c>
      <c r="P28" s="99">
        <f>P45</f>
        <v>791.5</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340429.60000000003</v>
      </c>
      <c r="O29" s="69">
        <v>62</v>
      </c>
      <c r="P29" s="99">
        <f>P44</f>
        <v>5490.8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8361060.5</v>
      </c>
      <c r="O30" s="69">
        <v>1261</v>
      </c>
      <c r="P30" s="99">
        <f>P46</f>
        <v>6630.5</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116329175.39999999</v>
      </c>
      <c r="O31" s="69">
        <v>388541</v>
      </c>
      <c r="P31" s="99">
        <f>P47</f>
        <v>299.39999999999998</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-768527614.56944084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-2432359</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5369</v>
      </c>
      <c r="L44" s="117">
        <f>-22884*P47</f>
        <v>-6851469.5999999996</v>
      </c>
      <c r="M44" s="21" t="s">
        <v>4380</v>
      </c>
      <c r="N44" s="117">
        <f t="shared" ref="N44:N50" si="16">O44*P44</f>
        <v>285521.60000000003</v>
      </c>
      <c r="O44" s="69">
        <v>52</v>
      </c>
      <c r="P44" s="69">
        <v>5490.8</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-14400000</v>
      </c>
      <c r="M45" s="19" t="s">
        <v>4398</v>
      </c>
      <c r="N45" s="117">
        <f t="shared" si="16"/>
        <v>73399752.5</v>
      </c>
      <c r="O45" s="69">
        <v>92735</v>
      </c>
      <c r="P45" s="69">
        <v>791.5</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21058468</v>
      </c>
      <c r="O46" s="69">
        <v>3176</v>
      </c>
      <c r="P46" s="69">
        <v>6630.5</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5368</v>
      </c>
      <c r="L47" s="117">
        <f>130165*P47</f>
        <v>38971401</v>
      </c>
      <c r="M47" s="19" t="s">
        <v>4174</v>
      </c>
      <c r="N47" s="113">
        <f t="shared" si="16"/>
        <v>895244622.5999999</v>
      </c>
      <c r="O47" s="99">
        <v>2990129</v>
      </c>
      <c r="P47" s="99">
        <v>299.39999999999998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3250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5388</v>
      </c>
      <c r="L49" s="117">
        <v>-100000</v>
      </c>
      <c r="M49" s="21" t="s">
        <v>1083</v>
      </c>
      <c r="N49" s="117">
        <f t="shared" si="16"/>
        <v>0</v>
      </c>
      <c r="O49" s="69">
        <v>0</v>
      </c>
      <c r="P49" s="69">
        <v>416000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12000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5359</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-24022312.741646271</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657822781.96944082</v>
      </c>
      <c r="M60" s="168"/>
      <c r="N60" s="113">
        <f>SUM(N16:N59)</f>
        <v>887680446.9889127</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757822781.96944082</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5347</v>
      </c>
      <c r="S70" s="197">
        <f>S69-1</f>
        <v>-8</v>
      </c>
      <c r="T70" s="213" t="s">
        <v>5348</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5350</v>
      </c>
      <c r="S71" s="197">
        <f>S70-2</f>
        <v>-10</v>
      </c>
      <c r="T71" s="213" t="s">
        <v>5352</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5356</v>
      </c>
      <c r="S72" s="197">
        <f>S71-3</f>
        <v>-13</v>
      </c>
      <c r="T72" s="213" t="s">
        <v>5394</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5371</v>
      </c>
      <c r="O73" t="s">
        <v>25</v>
      </c>
      <c r="P73" s="115"/>
      <c r="Q73" s="169">
        <v>459771</v>
      </c>
      <c r="R73" s="213" t="s">
        <v>5356</v>
      </c>
      <c r="S73" s="197">
        <f>S72</f>
        <v>-13</v>
      </c>
      <c r="T73" s="213" t="s">
        <v>5358</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1502234709.5999999</v>
      </c>
      <c r="P74" s="115"/>
      <c r="Q74" s="169">
        <v>101835</v>
      </c>
      <c r="R74" s="213" t="s">
        <v>5361</v>
      </c>
      <c r="S74" s="197">
        <f>S73-2</f>
        <v>-15</v>
      </c>
      <c r="T74" s="213" t="s">
        <v>5362</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5363</v>
      </c>
      <c r="S75" s="197">
        <f>S74-2</f>
        <v>-17</v>
      </c>
      <c r="T75" s="213" t="s">
        <v>5366</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5378</v>
      </c>
      <c r="S76" s="197">
        <f>S75-5</f>
        <v>-22</v>
      </c>
      <c r="T76" s="213" t="s">
        <v>5380</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194317849.0999999</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5392</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13894.455577822313</v>
      </c>
      <c r="G102" s="199">
        <f>P47</f>
        <v>299.39999999999998</v>
      </c>
      <c r="H102" s="199" t="s">
        <v>4773</v>
      </c>
      <c r="I102" s="199" t="s">
        <v>4772</v>
      </c>
      <c r="J102" s="214" t="s">
        <v>4234</v>
      </c>
      <c r="K102" s="199">
        <v>175</v>
      </c>
      <c r="L102" s="215">
        <f t="shared" ref="L102:L107" si="28">K102*$L$110</f>
        <v>728000000</v>
      </c>
      <c r="M102" s="215">
        <f>N21+N31+N47</f>
        <v>1502234709.5999999</v>
      </c>
      <c r="N102" s="183">
        <f t="shared" ref="N102:N106" si="29">L102-M102</f>
        <v>-774234709.5999999</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5255.8433354390399</v>
      </c>
      <c r="G105" s="213">
        <f>P45</f>
        <v>791.5</v>
      </c>
      <c r="H105" s="213" t="s">
        <v>4665</v>
      </c>
      <c r="I105" s="213" t="s">
        <v>4664</v>
      </c>
      <c r="J105" s="32" t="s">
        <v>4398</v>
      </c>
      <c r="K105" s="213">
        <v>43</v>
      </c>
      <c r="L105" s="1">
        <f t="shared" si="28"/>
        <v>178880000</v>
      </c>
      <c r="M105" s="1">
        <f>N45+N25</f>
        <v>197513284.5</v>
      </c>
      <c r="N105" s="113">
        <f t="shared" si="29"/>
        <v>-18633284.5</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4160000</v>
      </c>
      <c r="M106" s="215">
        <f>0</f>
        <v>0</v>
      </c>
      <c r="N106" s="183">
        <f t="shared" si="29"/>
        <v>4160000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5374</v>
      </c>
      <c r="K107" s="191">
        <v>176</v>
      </c>
      <c r="L107" s="258">
        <f t="shared" si="28"/>
        <v>732160000</v>
      </c>
      <c r="M107" s="258">
        <v>0</v>
      </c>
      <c r="N107" s="86">
        <f>L107-M107</f>
        <v>732160000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395</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4160000</v>
      </c>
      <c r="M110" s="1">
        <f>K110*L110</f>
        <v>0</v>
      </c>
      <c r="N110" s="113">
        <f>SUM(N102:N108)-M110</f>
        <v>-26547994.099999905</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5347</v>
      </c>
      <c r="S112" s="197">
        <f>S111-8</f>
        <v>-8</v>
      </c>
      <c r="T112" s="189" t="s">
        <v>5349</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5363</v>
      </c>
      <c r="S113" s="197">
        <f>S112-9</f>
        <v>-17</v>
      </c>
      <c r="T113" s="189" t="s">
        <v>5365</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34802177.499999985</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299.39999999999998</v>
      </c>
      <c r="H119" s="213" t="s">
        <v>4234</v>
      </c>
      <c r="I119" s="213">
        <v>129827</v>
      </c>
      <c r="J119" s="1">
        <f>I119*G119</f>
        <v>38870203.799999997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791.5</v>
      </c>
      <c r="H120" s="213" t="s">
        <v>4398</v>
      </c>
      <c r="I120" s="213">
        <v>1205</v>
      </c>
      <c r="J120" s="1">
        <f t="shared" ref="J120:J121" si="33">I120*G120</f>
        <v>953757.5</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6630.5</v>
      </c>
      <c r="H121" s="213" t="s">
        <v>4384</v>
      </c>
      <c r="I121" s="213">
        <v>1399</v>
      </c>
      <c r="J121" s="1">
        <f t="shared" si="33"/>
        <v>9276069.5</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29177615.799999997</v>
      </c>
      <c r="J123" s="1">
        <f>SUM(J119:J122)</f>
        <v>49100030.799999997</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299.39999999999998</v>
      </c>
      <c r="H127" s="213" t="s">
        <v>4234</v>
      </c>
      <c r="I127" s="213">
        <v>50896</v>
      </c>
      <c r="J127" s="1">
        <f>G127*I127</f>
        <v>15238262.399999999</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791.5</v>
      </c>
      <c r="H128" s="213" t="s">
        <v>4398</v>
      </c>
      <c r="I128" s="213">
        <v>2304</v>
      </c>
      <c r="J128" s="1">
        <f t="shared" ref="J128:J129" si="40">G128*I128</f>
        <v>1823616</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5490.8</v>
      </c>
      <c r="H129" s="213" t="s">
        <v>4380</v>
      </c>
      <c r="I129" s="213">
        <v>715</v>
      </c>
      <c r="J129" s="1">
        <f t="shared" si="40"/>
        <v>3925922</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4668657.3999999985</v>
      </c>
      <c r="J131" s="1">
        <f>SUM(J127:J130)</f>
        <v>20987800.399999999</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5367</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299.39999999999998</v>
      </c>
      <c r="H135" s="213" t="s">
        <v>4234</v>
      </c>
      <c r="I135" s="213">
        <v>46582</v>
      </c>
      <c r="J135" s="1">
        <f>G135*I135</f>
        <v>13946650.799999999</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4151650.799999997</v>
      </c>
      <c r="J137" s="1">
        <f>SUM(J135:J136)</f>
        <v>23946650.799999997</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299.39999999999998</v>
      </c>
      <c r="H141" s="99" t="s">
        <v>4234</v>
      </c>
      <c r="I141" s="99">
        <v>39042</v>
      </c>
      <c r="J141" s="1">
        <f>G141*I141</f>
        <v>11689174.799999999</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6630.5</v>
      </c>
      <c r="H142" s="99" t="s">
        <v>4384</v>
      </c>
      <c r="I142" s="99">
        <v>1150</v>
      </c>
      <c r="J142" s="1">
        <f>G142*I142</f>
        <v>7625075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-685750.20000000298</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5377</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5340</v>
      </c>
      <c r="S181" s="213">
        <f>S180-4</f>
        <v>-7</v>
      </c>
      <c r="T181" s="213" t="s">
        <v>5393</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5356</v>
      </c>
      <c r="S182" s="213">
        <f>S181-6</f>
        <v>-13</v>
      </c>
      <c r="T182" s="213" t="s">
        <v>5357</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324808627.69999993</v>
      </c>
      <c r="R185" s="112"/>
      <c r="S185" s="112"/>
      <c r="T185" s="112"/>
      <c r="U185" s="168"/>
      <c r="V185" s="99" t="s">
        <v>25</v>
      </c>
      <c r="W185" s="32"/>
      <c r="X185" s="32"/>
      <c r="AH185" s="99">
        <v>165</v>
      </c>
      <c r="AI185" s="113" t="s">
        <v>5186</v>
      </c>
      <c r="AJ185" s="113">
        <v>-200000</v>
      </c>
      <c r="AK185" s="99">
        <v>0</v>
      </c>
      <c r="AL185" s="20">
        <f t="shared" si="57"/>
        <v>64</v>
      </c>
      <c r="AM185" s="117">
        <f t="shared" si="58"/>
        <v>-12800000</v>
      </c>
      <c r="AN185" s="20" t="s">
        <v>5187</v>
      </c>
    </row>
    <row r="186" spans="17:44">
      <c r="Q186" s="26"/>
      <c r="R186" s="181"/>
      <c r="S186" s="181"/>
      <c r="T186" t="s">
        <v>25</v>
      </c>
      <c r="U186" s="96" t="s">
        <v>25</v>
      </c>
      <c r="V186" s="96" t="s">
        <v>25</v>
      </c>
      <c r="W186" s="96" t="s">
        <v>25</v>
      </c>
      <c r="AH186" s="99">
        <v>166</v>
      </c>
      <c r="AI186" s="113" t="s">
        <v>5186</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5195</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5200</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5280</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5286</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5291</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835714007.51241076</v>
      </c>
      <c r="T195" s="168"/>
      <c r="U195" s="168">
        <f>$Q$193*$T$193*S195/$R$222</f>
        <v>359.85771476006494</v>
      </c>
      <c r="V195" s="95">
        <f>S195+U195</f>
        <v>835714367.37012553</v>
      </c>
      <c r="W195" s="99">
        <f>R195*100/U349</f>
        <v>47.981028634675319</v>
      </c>
      <c r="X195" s="217"/>
      <c r="AH195" s="99">
        <v>175</v>
      </c>
      <c r="AI195" s="113" t="s">
        <v>5300</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768527614.56944084</v>
      </c>
      <c r="T196" s="168"/>
      <c r="U196" s="213">
        <f>$Q$193*$T$193*S196/$R$222</f>
        <v>330.92731319913401</v>
      </c>
      <c r="V196" s="95">
        <f t="shared" ref="V196:V197" si="63">S196+U196</f>
        <v>768527945.49675405</v>
      </c>
      <c r="W196" s="99">
        <f>R196*100/U349</f>
        <v>44.123641759884521</v>
      </c>
      <c r="X196" s="115"/>
      <c r="AH196" s="99">
        <v>176</v>
      </c>
      <c r="AI196" s="113" t="s">
        <v>5312</v>
      </c>
      <c r="AJ196" s="113">
        <v>1300000</v>
      </c>
      <c r="AK196" s="99">
        <v>0</v>
      </c>
      <c r="AL196" s="20">
        <f t="shared" si="61"/>
        <v>27</v>
      </c>
      <c r="AM196" s="117">
        <f t="shared" si="62"/>
        <v>35100000</v>
      </c>
      <c r="AN196" s="20"/>
      <c r="AR196" t="s">
        <v>25</v>
      </c>
    </row>
    <row r="197" spans="15:45">
      <c r="P197" s="114"/>
      <c r="Q197" s="168" t="s">
        <v>4436</v>
      </c>
      <c r="R197" s="56">
        <v>50392</v>
      </c>
      <c r="S197" s="113">
        <f>R197*$T$352</f>
        <v>24022312.741646271</v>
      </c>
      <c r="T197" s="168"/>
      <c r="U197" s="213">
        <f>$Q$193*$T$193*S197/$R$222</f>
        <v>10.343986685339889</v>
      </c>
      <c r="V197" s="95">
        <f t="shared" si="63"/>
        <v>24022323.085632958</v>
      </c>
      <c r="W197" s="99">
        <f>R197*100/U349</f>
        <v>1.3791982247119852</v>
      </c>
      <c r="X197" s="115"/>
      <c r="Y197" t="s">
        <v>25</v>
      </c>
      <c r="AH197" s="99">
        <v>177</v>
      </c>
      <c r="AI197" s="113" t="s">
        <v>5312</v>
      </c>
      <c r="AJ197" s="113">
        <v>230000</v>
      </c>
      <c r="AK197" s="99">
        <v>1</v>
      </c>
      <c r="AL197" s="20">
        <f t="shared" si="61"/>
        <v>27</v>
      </c>
      <c r="AM197" s="117">
        <f t="shared" si="62"/>
        <v>6210000</v>
      </c>
      <c r="AN197" s="20"/>
    </row>
    <row r="198" spans="15:45">
      <c r="O198" t="s">
        <v>25</v>
      </c>
      <c r="P198" s="114"/>
      <c r="Q198" s="168" t="s">
        <v>1084</v>
      </c>
      <c r="R198" s="56">
        <v>238081</v>
      </c>
      <c r="S198" s="113">
        <f>R198*$T$352</f>
        <v>113495321.47650194</v>
      </c>
      <c r="T198" s="168"/>
      <c r="U198" s="213">
        <f>$Q$193*$T$193*S198/$R$222</f>
        <v>48.870985355461301</v>
      </c>
      <c r="V198" s="95">
        <f>S198+U198</f>
        <v>113495370.3474873</v>
      </c>
      <c r="W198" s="99">
        <f>R198*100/U349</f>
        <v>6.5161313807281731</v>
      </c>
      <c r="X198" s="115"/>
      <c r="AH198" s="99">
        <v>178</v>
      </c>
      <c r="AI198" s="113" t="s">
        <v>5318</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5323</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5335</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5350</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5353</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212098364.41241086</v>
      </c>
      <c r="S205" s="96"/>
      <c r="T205" s="96"/>
      <c r="V205" s="96"/>
      <c r="AH205" s="99">
        <v>185</v>
      </c>
      <c r="AI205" s="113" t="s">
        <v>5310</v>
      </c>
      <c r="AJ205" s="113">
        <v>-10000000</v>
      </c>
      <c r="AK205" s="99">
        <v>0</v>
      </c>
      <c r="AL205" s="20">
        <f t="shared" si="64"/>
        <v>2</v>
      </c>
      <c r="AM205" s="117">
        <f t="shared" si="65"/>
        <v>-20000000</v>
      </c>
      <c r="AN205" s="20" t="s">
        <v>5092</v>
      </c>
    </row>
    <row r="206" spans="15:45">
      <c r="Q206" s="99" t="s">
        <v>5035</v>
      </c>
      <c r="R206" s="95">
        <f>S198+S197-R211</f>
        <v>10897636.718148217</v>
      </c>
      <c r="S206" s="96"/>
      <c r="T206" s="96" t="s">
        <v>25</v>
      </c>
      <c r="V206" s="96"/>
      <c r="AH206" s="99">
        <v>186</v>
      </c>
      <c r="AI206" s="113" t="s">
        <v>5310</v>
      </c>
      <c r="AJ206" s="113">
        <v>3000000</v>
      </c>
      <c r="AK206" s="99">
        <v>1</v>
      </c>
      <c r="AL206" s="20">
        <f t="shared" si="64"/>
        <v>2</v>
      </c>
      <c r="AM206" s="117">
        <f t="shared" si="65"/>
        <v>6000000</v>
      </c>
      <c r="AN206" s="20"/>
    </row>
    <row r="207" spans="15:45">
      <c r="P207" s="114"/>
      <c r="Q207" s="96"/>
      <c r="R207" s="96"/>
      <c r="S207" s="96"/>
      <c r="T207" s="96"/>
      <c r="V207" s="96"/>
      <c r="AH207" s="99">
        <v>187</v>
      </c>
      <c r="AI207" s="113" t="s">
        <v>5376</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5390</v>
      </c>
      <c r="AJ208" s="113"/>
      <c r="AK208" s="99"/>
      <c r="AL208" s="20">
        <f t="shared" si="64"/>
        <v>0</v>
      </c>
      <c r="AM208" s="117">
        <f t="shared" si="65"/>
        <v>0</v>
      </c>
      <c r="AN208" s="20"/>
      <c r="AR208" t="s">
        <v>25</v>
      </c>
    </row>
    <row r="209" spans="16:45">
      <c r="Q209" s="36" t="s">
        <v>4556</v>
      </c>
      <c r="R209" s="95">
        <f>SUM(N44:N49)</f>
        <v>989988364.69999993</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623615643.0999999</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126619997.49999999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5327</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5208</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5209</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1741759256.2999997</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989988364.69999993</v>
      </c>
      <c r="AM223" t="s">
        <v>25</v>
      </c>
    </row>
    <row r="224" spans="16:45">
      <c r="T224" s="168" t="s">
        <v>4615</v>
      </c>
      <c r="U224" s="168">
        <v>79720</v>
      </c>
      <c r="V224" s="113">
        <v>246.6568</v>
      </c>
      <c r="W224" s="113">
        <f t="shared" si="66"/>
        <v>19663480.096000001</v>
      </c>
      <c r="X224" s="99" t="s">
        <v>452</v>
      </c>
      <c r="Z224" t="s">
        <v>25</v>
      </c>
      <c r="AI224" t="s">
        <v>4133</v>
      </c>
      <c r="AJ224" s="114">
        <f>AJ223-AJ217</f>
        <v>499158305.69999993</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403369139.718436</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5204</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5244</v>
      </c>
      <c r="R242" s="149" t="s">
        <v>5240</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5278</v>
      </c>
      <c r="R243" s="149" t="s">
        <v>5275</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5281</v>
      </c>
      <c r="R244" s="149" t="s">
        <v>5280</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5291</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5324</v>
      </c>
      <c r="R246" s="195" t="s">
        <v>5323</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5350</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5363</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5382</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5195</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5200</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5211</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5247</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5291</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5350</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5363</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5382</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5202</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5203</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5179</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5195</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5200</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5211</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5213</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5222</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5228</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5229</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5231</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5231</v>
      </c>
      <c r="U318" s="213">
        <v>9191</v>
      </c>
      <c r="V318" s="113">
        <v>440.24630000000002</v>
      </c>
      <c r="W318" s="113">
        <f t="shared" si="81"/>
        <v>4046303.7433000002</v>
      </c>
      <c r="X318" s="36" t="s">
        <v>5234</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5236</v>
      </c>
      <c r="U319" s="213">
        <v>-8792</v>
      </c>
      <c r="V319" s="113">
        <v>441.90665999999999</v>
      </c>
      <c r="W319" s="113">
        <f t="shared" si="81"/>
        <v>-3885243.3547199997</v>
      </c>
      <c r="X319" s="36" t="s">
        <v>5237</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5241</v>
      </c>
      <c r="U320" s="213">
        <v>24374</v>
      </c>
      <c r="V320" s="113">
        <v>471.81700000000001</v>
      </c>
      <c r="W320" s="113">
        <f t="shared" si="81"/>
        <v>11500067.558</v>
      </c>
      <c r="X320" s="36" t="s">
        <v>5245</v>
      </c>
      <c r="AH320" s="20">
        <v>87</v>
      </c>
      <c r="AI320" s="20" t="s">
        <v>5143</v>
      </c>
      <c r="AJ320" s="117">
        <v>500000</v>
      </c>
      <c r="AK320" s="20">
        <v>3</v>
      </c>
      <c r="AL320" s="20">
        <f t="shared" si="82"/>
        <v>97</v>
      </c>
      <c r="AM320" s="20">
        <f t="shared" si="83"/>
        <v>48500000</v>
      </c>
      <c r="AN320" s="20"/>
    </row>
    <row r="321" spans="17:44">
      <c r="Q321" s="99" t="s">
        <v>4744</v>
      </c>
      <c r="R321" s="95">
        <v>50000000</v>
      </c>
      <c r="T321" s="213" t="s">
        <v>5247</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5247</v>
      </c>
      <c r="U322" s="213">
        <v>12</v>
      </c>
      <c r="V322" s="113">
        <v>481.86</v>
      </c>
      <c r="W322" s="113">
        <f t="shared" si="81"/>
        <v>5782.32</v>
      </c>
      <c r="X322" s="36" t="s">
        <v>5252</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5275</v>
      </c>
      <c r="U323" s="213">
        <v>12330</v>
      </c>
      <c r="V323" s="113">
        <v>486.63443869999998</v>
      </c>
      <c r="W323" s="113">
        <f t="shared" si="81"/>
        <v>6000202.6291709999</v>
      </c>
      <c r="X323" s="36" t="s">
        <v>5245</v>
      </c>
      <c r="AH323" s="20">
        <v>90</v>
      </c>
      <c r="AI323" s="20" t="s">
        <v>5172</v>
      </c>
      <c r="AJ323" s="117">
        <v>312598</v>
      </c>
      <c r="AK323" s="20">
        <v>0</v>
      </c>
      <c r="AL323" s="20">
        <f t="shared" si="82"/>
        <v>78</v>
      </c>
      <c r="AM323" s="20">
        <f t="shared" si="83"/>
        <v>24382644</v>
      </c>
      <c r="AN323" s="20"/>
    </row>
    <row r="324" spans="17:44">
      <c r="Q324" s="99" t="s">
        <v>4820</v>
      </c>
      <c r="R324" s="95">
        <v>2250000</v>
      </c>
      <c r="T324" s="213" t="s">
        <v>5280</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5280</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5286</v>
      </c>
      <c r="U326" s="213">
        <v>191</v>
      </c>
      <c r="V326" s="113">
        <v>484.572</v>
      </c>
      <c r="W326" s="113">
        <f t="shared" si="81"/>
        <v>92553.252000000008</v>
      </c>
      <c r="X326" s="36" t="s">
        <v>5287</v>
      </c>
      <c r="AH326" s="20">
        <v>93</v>
      </c>
      <c r="AI326" s="20" t="s">
        <v>5129</v>
      </c>
      <c r="AJ326" s="117">
        <v>300000</v>
      </c>
      <c r="AK326" s="20">
        <v>0</v>
      </c>
      <c r="AL326" s="20">
        <f t="shared" si="82"/>
        <v>77</v>
      </c>
      <c r="AM326" s="20">
        <f t="shared" si="83"/>
        <v>23100000</v>
      </c>
      <c r="AN326" s="20"/>
    </row>
    <row r="327" spans="17:44">
      <c r="Q327" s="99" t="s">
        <v>979</v>
      </c>
      <c r="R327" s="95">
        <v>1100000</v>
      </c>
      <c r="T327" s="213" t="s">
        <v>5286</v>
      </c>
      <c r="U327" s="213">
        <v>-206</v>
      </c>
      <c r="V327" s="113">
        <v>484.572</v>
      </c>
      <c r="W327" s="113">
        <f t="shared" si="81"/>
        <v>-99821.831999999995</v>
      </c>
      <c r="X327" s="36" t="s">
        <v>5289</v>
      </c>
      <c r="AH327" s="20">
        <v>94</v>
      </c>
      <c r="AI327" s="20" t="s">
        <v>5129</v>
      </c>
      <c r="AJ327" s="117">
        <v>8660000</v>
      </c>
      <c r="AK327" s="20">
        <v>8</v>
      </c>
      <c r="AL327" s="20">
        <f t="shared" si="82"/>
        <v>77</v>
      </c>
      <c r="AM327" s="20">
        <f t="shared" si="83"/>
        <v>666820000</v>
      </c>
      <c r="AN327" s="20"/>
    </row>
    <row r="328" spans="17:44">
      <c r="Q328" s="99" t="s">
        <v>4841</v>
      </c>
      <c r="R328" s="95">
        <v>890000</v>
      </c>
      <c r="T328" s="213" t="s">
        <v>5291</v>
      </c>
      <c r="U328" s="213">
        <v>20685</v>
      </c>
      <c r="V328" s="113">
        <v>483.43312200000003</v>
      </c>
      <c r="W328" s="113">
        <f t="shared" si="81"/>
        <v>9999814.1285699997</v>
      </c>
      <c r="X328" s="36" t="s">
        <v>5296</v>
      </c>
      <c r="AH328" s="149">
        <v>95</v>
      </c>
      <c r="AI328" s="149" t="s">
        <v>5195</v>
      </c>
      <c r="AJ328" s="188">
        <v>200000</v>
      </c>
      <c r="AK328" s="149">
        <v>3</v>
      </c>
      <c r="AL328" s="149">
        <f t="shared" si="82"/>
        <v>69</v>
      </c>
      <c r="AM328" s="149">
        <f t="shared" si="83"/>
        <v>13800000</v>
      </c>
      <c r="AN328" s="149"/>
    </row>
    <row r="329" spans="17:44">
      <c r="Q329" s="99" t="s">
        <v>4861</v>
      </c>
      <c r="R329" s="95">
        <v>1000000</v>
      </c>
      <c r="T329" s="213" t="s">
        <v>5291</v>
      </c>
      <c r="U329" s="213">
        <v>-413</v>
      </c>
      <c r="V329" s="113">
        <v>483.40199999999999</v>
      </c>
      <c r="W329" s="113">
        <f t="shared" si="81"/>
        <v>-199645.02599999998</v>
      </c>
      <c r="X329" s="36" t="s">
        <v>4436</v>
      </c>
      <c r="AH329" s="149">
        <v>96</v>
      </c>
      <c r="AI329" s="149" t="s">
        <v>5200</v>
      </c>
      <c r="AJ329" s="188">
        <v>20000</v>
      </c>
      <c r="AK329" s="149">
        <v>1</v>
      </c>
      <c r="AL329" s="149">
        <f t="shared" si="82"/>
        <v>66</v>
      </c>
      <c r="AM329" s="149">
        <f t="shared" si="83"/>
        <v>1320000</v>
      </c>
      <c r="AN329" s="149"/>
    </row>
    <row r="330" spans="17:44">
      <c r="Q330" s="99" t="s">
        <v>4862</v>
      </c>
      <c r="R330" s="95">
        <v>45436311</v>
      </c>
      <c r="T330" s="213" t="s">
        <v>5291</v>
      </c>
      <c r="U330" s="213">
        <v>413</v>
      </c>
      <c r="V330" s="113">
        <v>483.40199999999999</v>
      </c>
      <c r="W330" s="113">
        <f t="shared" si="81"/>
        <v>199645.02599999998</v>
      </c>
      <c r="X330" s="36" t="s">
        <v>750</v>
      </c>
      <c r="AH330" s="20">
        <v>97</v>
      </c>
      <c r="AI330" s="20" t="s">
        <v>5211</v>
      </c>
      <c r="AJ330" s="117">
        <v>14340000</v>
      </c>
      <c r="AK330" s="20">
        <v>7</v>
      </c>
      <c r="AL330" s="20">
        <f t="shared" si="82"/>
        <v>65</v>
      </c>
      <c r="AM330" s="20">
        <f t="shared" si="83"/>
        <v>932100000</v>
      </c>
      <c r="AN330" s="20"/>
    </row>
    <row r="331" spans="17:44">
      <c r="Q331" s="99" t="s">
        <v>4862</v>
      </c>
      <c r="R331" s="95">
        <v>-3500000</v>
      </c>
      <c r="T331" s="213" t="s">
        <v>5300</v>
      </c>
      <c r="U331" s="213">
        <v>-828</v>
      </c>
      <c r="V331" s="113">
        <v>483.43312200000003</v>
      </c>
      <c r="W331" s="113">
        <f t="shared" si="81"/>
        <v>-400282.62501600001</v>
      </c>
      <c r="X331" s="36" t="s">
        <v>452</v>
      </c>
      <c r="AH331" s="20">
        <v>98</v>
      </c>
      <c r="AI331" s="20" t="s">
        <v>5222</v>
      </c>
      <c r="AJ331" s="117">
        <v>10000000</v>
      </c>
      <c r="AK331" s="20">
        <v>6</v>
      </c>
      <c r="AL331" s="20">
        <f t="shared" si="82"/>
        <v>58</v>
      </c>
      <c r="AM331" s="20">
        <f t="shared" si="83"/>
        <v>580000000</v>
      </c>
      <c r="AN331" s="20" t="s">
        <v>4746</v>
      </c>
    </row>
    <row r="332" spans="17:44">
      <c r="Q332" s="99" t="s">
        <v>4875</v>
      </c>
      <c r="R332" s="95">
        <v>2520000</v>
      </c>
      <c r="T332" s="213" t="s">
        <v>5307</v>
      </c>
      <c r="U332" s="213">
        <v>12</v>
      </c>
      <c r="V332" s="113">
        <v>473.61898300000001</v>
      </c>
      <c r="W332" s="113">
        <f t="shared" si="81"/>
        <v>5683.4277959999999</v>
      </c>
      <c r="X332" s="36" t="s">
        <v>452</v>
      </c>
      <c r="Z332" t="s">
        <v>25</v>
      </c>
      <c r="AH332" s="20">
        <v>99</v>
      </c>
      <c r="AI332" s="20" t="s">
        <v>5231</v>
      </c>
      <c r="AJ332" s="117">
        <v>4033949</v>
      </c>
      <c r="AK332" s="20">
        <v>2</v>
      </c>
      <c r="AL332" s="20">
        <f t="shared" si="82"/>
        <v>52</v>
      </c>
      <c r="AM332" s="20">
        <f t="shared" si="83"/>
        <v>209765348</v>
      </c>
      <c r="AN332" s="20" t="s">
        <v>5235</v>
      </c>
      <c r="AR332" t="s">
        <v>25</v>
      </c>
    </row>
    <row r="333" spans="17:44">
      <c r="Q333" s="99" t="s">
        <v>4910</v>
      </c>
      <c r="R333" s="95">
        <v>4900000</v>
      </c>
      <c r="S333" s="114"/>
      <c r="T333" s="213" t="s">
        <v>5311</v>
      </c>
      <c r="U333" s="213">
        <v>963</v>
      </c>
      <c r="V333" s="113">
        <v>477.92200000000003</v>
      </c>
      <c r="W333" s="113">
        <f t="shared" si="81"/>
        <v>460238.886</v>
      </c>
      <c r="X333" s="36" t="s">
        <v>452</v>
      </c>
      <c r="AH333" s="149">
        <v>100</v>
      </c>
      <c r="AI333" s="149" t="s">
        <v>5240</v>
      </c>
      <c r="AJ333" s="188">
        <v>11500000</v>
      </c>
      <c r="AK333" s="149">
        <v>2</v>
      </c>
      <c r="AL333" s="149">
        <f t="shared" si="82"/>
        <v>50</v>
      </c>
      <c r="AM333" s="149">
        <f t="shared" si="83"/>
        <v>575000000</v>
      </c>
      <c r="AN333" s="149" t="s">
        <v>5243</v>
      </c>
    </row>
    <row r="334" spans="17:44">
      <c r="Q334" s="99" t="s">
        <v>4931</v>
      </c>
      <c r="R334" s="95">
        <v>1150000</v>
      </c>
      <c r="T334" s="213" t="s">
        <v>5312</v>
      </c>
      <c r="U334" s="213">
        <v>2815</v>
      </c>
      <c r="V334" s="113">
        <v>461.79</v>
      </c>
      <c r="W334" s="113">
        <f t="shared" si="81"/>
        <v>1299938.8500000001</v>
      </c>
      <c r="X334" s="36" t="s">
        <v>452</v>
      </c>
      <c r="AH334" s="149">
        <v>101</v>
      </c>
      <c r="AI334" s="149" t="s">
        <v>5247</v>
      </c>
      <c r="AJ334" s="188">
        <v>250000</v>
      </c>
      <c r="AK334" s="149">
        <v>3</v>
      </c>
      <c r="AL334" s="149">
        <f t="shared" si="82"/>
        <v>48</v>
      </c>
      <c r="AM334" s="149">
        <f t="shared" si="83"/>
        <v>12000000</v>
      </c>
      <c r="AN334" s="149"/>
    </row>
    <row r="335" spans="17:44">
      <c r="Q335" s="99" t="s">
        <v>4882</v>
      </c>
      <c r="R335" s="95">
        <v>250000</v>
      </c>
      <c r="T335" s="213" t="s">
        <v>5312</v>
      </c>
      <c r="U335" s="213">
        <v>1581</v>
      </c>
      <c r="V335" s="113">
        <v>461.79</v>
      </c>
      <c r="W335" s="113">
        <f t="shared" si="81"/>
        <v>730089.99</v>
      </c>
      <c r="X335" s="36" t="s">
        <v>452</v>
      </c>
      <c r="AH335" s="149">
        <v>102</v>
      </c>
      <c r="AI335" s="149" t="s">
        <v>5275</v>
      </c>
      <c r="AJ335" s="188">
        <v>6000000</v>
      </c>
      <c r="AK335" s="149">
        <v>1</v>
      </c>
      <c r="AL335" s="149">
        <f t="shared" si="82"/>
        <v>45</v>
      </c>
      <c r="AM335" s="149">
        <f t="shared" si="83"/>
        <v>270000000</v>
      </c>
      <c r="AN335" s="149" t="s">
        <v>5243</v>
      </c>
    </row>
    <row r="336" spans="17:44">
      <c r="Q336" s="99" t="s">
        <v>4972</v>
      </c>
      <c r="R336" s="95">
        <v>1403460</v>
      </c>
      <c r="T336" s="213" t="s">
        <v>5323</v>
      </c>
      <c r="U336" s="213">
        <v>1916</v>
      </c>
      <c r="V336" s="113">
        <v>521.70000000000005</v>
      </c>
      <c r="W336" s="113">
        <f t="shared" si="81"/>
        <v>999577.20000000007</v>
      </c>
      <c r="X336" s="36" t="s">
        <v>1084</v>
      </c>
      <c r="AH336" s="149">
        <v>103</v>
      </c>
      <c r="AI336" s="149" t="s">
        <v>5280</v>
      </c>
      <c r="AJ336" s="188">
        <v>1500000</v>
      </c>
      <c r="AK336" s="149">
        <v>6</v>
      </c>
      <c r="AL336" s="149">
        <f t="shared" si="82"/>
        <v>44</v>
      </c>
      <c r="AM336" s="149">
        <f t="shared" si="83"/>
        <v>66000000</v>
      </c>
      <c r="AN336" s="149" t="s">
        <v>5243</v>
      </c>
      <c r="AR336" t="s">
        <v>25</v>
      </c>
    </row>
    <row r="337" spans="17:46">
      <c r="Q337" s="99" t="s">
        <v>4977</v>
      </c>
      <c r="R337" s="95">
        <v>200000</v>
      </c>
      <c r="T337" s="213" t="s">
        <v>990</v>
      </c>
      <c r="U337" s="213">
        <v>41</v>
      </c>
      <c r="V337" s="113">
        <v>514.48099999999999</v>
      </c>
      <c r="W337" s="113">
        <f t="shared" si="81"/>
        <v>21093.721000000001</v>
      </c>
      <c r="X337" s="36" t="s">
        <v>5287</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5287</v>
      </c>
      <c r="AH338" s="20">
        <v>105</v>
      </c>
      <c r="AI338" s="20" t="s">
        <v>5311</v>
      </c>
      <c r="AJ338" s="117">
        <v>230000</v>
      </c>
      <c r="AK338" s="20">
        <v>0</v>
      </c>
      <c r="AL338" s="20">
        <f t="shared" si="82"/>
        <v>36</v>
      </c>
      <c r="AM338" s="20">
        <f t="shared" si="83"/>
        <v>8280000</v>
      </c>
      <c r="AN338" s="20"/>
      <c r="AR338" t="s">
        <v>25</v>
      </c>
      <c r="AT338" s="96" t="s">
        <v>25</v>
      </c>
    </row>
    <row r="339" spans="17:46">
      <c r="Q339" s="99" t="s">
        <v>4988</v>
      </c>
      <c r="R339" s="95">
        <v>900000</v>
      </c>
      <c r="T339" s="213" t="s">
        <v>5350</v>
      </c>
      <c r="U339" s="213">
        <v>-250</v>
      </c>
      <c r="V339" s="113">
        <v>487.125</v>
      </c>
      <c r="W339" s="113">
        <f t="shared" si="81"/>
        <v>-121781.25</v>
      </c>
      <c r="X339" s="36" t="s">
        <v>4436</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5350</v>
      </c>
      <c r="U340" s="213">
        <v>250</v>
      </c>
      <c r="V340" s="113">
        <v>487.125</v>
      </c>
      <c r="W340" s="113">
        <f t="shared" si="81"/>
        <v>121781.25</v>
      </c>
      <c r="X340" s="36" t="s">
        <v>750</v>
      </c>
      <c r="AH340" s="149">
        <v>107</v>
      </c>
      <c r="AI340" s="149" t="s">
        <v>5312</v>
      </c>
      <c r="AJ340" s="188">
        <v>500000</v>
      </c>
      <c r="AK340" s="149">
        <v>1</v>
      </c>
      <c r="AL340" s="149">
        <f t="shared" si="84"/>
        <v>35</v>
      </c>
      <c r="AM340" s="149">
        <f t="shared" si="85"/>
        <v>17500000</v>
      </c>
      <c r="AN340" s="149"/>
    </row>
    <row r="341" spans="17:46">
      <c r="Q341" s="99" t="s">
        <v>5003</v>
      </c>
      <c r="R341" s="95">
        <v>6489257</v>
      </c>
      <c r="T341" s="213" t="s">
        <v>5363</v>
      </c>
      <c r="U341" s="213">
        <v>-1439</v>
      </c>
      <c r="V341" s="113">
        <v>486.53068999999999</v>
      </c>
      <c r="W341" s="113">
        <f t="shared" si="81"/>
        <v>-700117.66290999996</v>
      </c>
      <c r="X341" s="36" t="s">
        <v>4436</v>
      </c>
      <c r="AH341" s="20">
        <v>108</v>
      </c>
      <c r="AI341" s="20" t="s">
        <v>5318</v>
      </c>
      <c r="AJ341" s="117">
        <v>-880000</v>
      </c>
      <c r="AK341" s="20">
        <v>4</v>
      </c>
      <c r="AL341" s="20">
        <f t="shared" si="84"/>
        <v>34</v>
      </c>
      <c r="AM341" s="20">
        <f t="shared" si="85"/>
        <v>-29920000</v>
      </c>
      <c r="AN341" s="20"/>
    </row>
    <row r="342" spans="17:46">
      <c r="Q342" s="99" t="s">
        <v>5056</v>
      </c>
      <c r="R342" s="95">
        <v>618000</v>
      </c>
      <c r="T342" s="213" t="s">
        <v>5363</v>
      </c>
      <c r="U342" s="213">
        <v>411</v>
      </c>
      <c r="V342" s="113">
        <v>486.53068999999999</v>
      </c>
      <c r="W342" s="113">
        <f t="shared" si="81"/>
        <v>199964.11358999999</v>
      </c>
      <c r="X342" s="36" t="s">
        <v>750</v>
      </c>
      <c r="AH342" s="195">
        <v>109</v>
      </c>
      <c r="AI342" s="195" t="s">
        <v>5323</v>
      </c>
      <c r="AJ342" s="196">
        <v>873000</v>
      </c>
      <c r="AK342" s="195">
        <v>0</v>
      </c>
      <c r="AL342" s="195">
        <f t="shared" si="84"/>
        <v>30</v>
      </c>
      <c r="AM342" s="195">
        <f t="shared" si="85"/>
        <v>26190000</v>
      </c>
      <c r="AN342" s="195" t="s">
        <v>5243</v>
      </c>
    </row>
    <row r="343" spans="17:46">
      <c r="Q343" s="99" t="s">
        <v>5070</v>
      </c>
      <c r="R343" s="95">
        <v>20105000</v>
      </c>
      <c r="T343" s="213" t="s">
        <v>5310</v>
      </c>
      <c r="U343" s="213">
        <v>-4290</v>
      </c>
      <c r="V343" s="113">
        <v>497.57670000000002</v>
      </c>
      <c r="W343" s="113">
        <f t="shared" si="81"/>
        <v>-2134604.0430000001</v>
      </c>
      <c r="X343" s="36" t="s">
        <v>452</v>
      </c>
      <c r="AH343" s="20">
        <v>110</v>
      </c>
      <c r="AI343" s="20" t="s">
        <v>5323</v>
      </c>
      <c r="AJ343" s="117">
        <v>127000</v>
      </c>
      <c r="AK343" s="20">
        <v>0</v>
      </c>
      <c r="AL343" s="20">
        <f t="shared" si="84"/>
        <v>30</v>
      </c>
      <c r="AM343" s="20">
        <f t="shared" si="85"/>
        <v>3810000</v>
      </c>
      <c r="AN343" s="20" t="s">
        <v>5243</v>
      </c>
    </row>
    <row r="344" spans="17:46">
      <c r="Q344" s="99" t="s">
        <v>5075</v>
      </c>
      <c r="R344" s="95">
        <v>-21079990</v>
      </c>
      <c r="T344" s="213" t="s">
        <v>5378</v>
      </c>
      <c r="U344" s="213">
        <v>-644</v>
      </c>
      <c r="V344" s="113">
        <v>494.76464499999997</v>
      </c>
      <c r="W344" s="113">
        <f t="shared" si="81"/>
        <v>-318628.43137999997</v>
      </c>
      <c r="X344" s="36" t="s">
        <v>452</v>
      </c>
      <c r="AH344" s="20">
        <v>111</v>
      </c>
      <c r="AI344" s="20" t="s">
        <v>5323</v>
      </c>
      <c r="AJ344" s="117">
        <v>73000</v>
      </c>
      <c r="AK344" s="20">
        <v>1</v>
      </c>
      <c r="AL344" s="20">
        <f t="shared" ref="AL344:AL348" si="86">AK344+AL345</f>
        <v>30</v>
      </c>
      <c r="AM344" s="20">
        <f t="shared" ref="AM344:AM348" si="87">AJ344*AL344</f>
        <v>2190000</v>
      </c>
      <c r="AN344" s="20"/>
    </row>
    <row r="345" spans="17:46">
      <c r="Q345" s="99" t="s">
        <v>5076</v>
      </c>
      <c r="R345" s="95">
        <v>-5949277</v>
      </c>
      <c r="T345" s="213" t="s">
        <v>5382</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5382</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5382</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5336</v>
      </c>
    </row>
    <row r="348" spans="17:46">
      <c r="Q348" s="99" t="s">
        <v>5090</v>
      </c>
      <c r="R348" s="95">
        <v>10000000</v>
      </c>
      <c r="T348" s="168"/>
      <c r="U348" s="168"/>
      <c r="V348" s="113"/>
      <c r="W348" s="113"/>
      <c r="X348" s="99"/>
      <c r="AH348" s="20">
        <v>115</v>
      </c>
      <c r="AI348" s="20" t="s">
        <v>5335</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5340</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5350</v>
      </c>
      <c r="AJ350" s="188">
        <v>50000</v>
      </c>
      <c r="AK350" s="149">
        <v>7</v>
      </c>
      <c r="AL350" s="149">
        <f t="shared" si="88"/>
        <v>20</v>
      </c>
      <c r="AM350" s="149">
        <f t="shared" si="89"/>
        <v>1000000</v>
      </c>
      <c r="AN350" s="149"/>
    </row>
    <row r="351" spans="17:46">
      <c r="Q351" s="99" t="s">
        <v>5116</v>
      </c>
      <c r="R351" s="95">
        <v>400000</v>
      </c>
      <c r="T351" s="200" t="s">
        <v>4472</v>
      </c>
      <c r="AH351" s="20">
        <v>118</v>
      </c>
      <c r="AI351" s="20" t="s">
        <v>5363</v>
      </c>
      <c r="AJ351" s="117">
        <v>-500000</v>
      </c>
      <c r="AK351" s="20">
        <v>12</v>
      </c>
      <c r="AL351" s="20">
        <f t="shared" si="88"/>
        <v>13</v>
      </c>
      <c r="AM351" s="20">
        <f t="shared" si="89"/>
        <v>-6500000</v>
      </c>
      <c r="AN351" s="20"/>
    </row>
    <row r="352" spans="17:46">
      <c r="Q352" s="99" t="s">
        <v>5123</v>
      </c>
      <c r="R352" s="95">
        <v>120000</v>
      </c>
      <c r="T352" s="199">
        <f>R222/U349</f>
        <v>476.70885739098014</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125.86298548841536</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5322</v>
      </c>
      <c r="W357" s="223"/>
      <c r="X357" s="96" t="s">
        <v>25</v>
      </c>
      <c r="Y357" t="s">
        <v>25</v>
      </c>
      <c r="AH357" s="20"/>
      <c r="AI357" s="20"/>
      <c r="AJ357" s="117"/>
      <c r="AK357" s="20"/>
      <c r="AL357" s="20">
        <f t="shared" si="88"/>
        <v>0</v>
      </c>
      <c r="AM357" s="20">
        <f t="shared" si="89"/>
        <v>0</v>
      </c>
      <c r="AN357" s="20"/>
    </row>
    <row r="358" spans="17:45">
      <c r="Q358" s="99" t="s">
        <v>5213</v>
      </c>
      <c r="R358" s="95">
        <v>3495</v>
      </c>
      <c r="W358" s="96" t="s">
        <v>25</v>
      </c>
      <c r="X358" t="s">
        <v>25</v>
      </c>
      <c r="AH358" s="20"/>
      <c r="AI358" s="20"/>
      <c r="AJ358" s="117"/>
      <c r="AK358" s="20"/>
      <c r="AL358" s="20">
        <f t="shared" si="88"/>
        <v>0</v>
      </c>
      <c r="AM358" s="20">
        <f t="shared" si="89"/>
        <v>0</v>
      </c>
      <c r="AN358" s="20"/>
      <c r="AS358" t="s">
        <v>25</v>
      </c>
    </row>
    <row r="359" spans="17:45">
      <c r="Q359" s="99" t="s">
        <v>5222</v>
      </c>
      <c r="R359" s="95">
        <v>6000000</v>
      </c>
      <c r="X359" t="s">
        <v>25</v>
      </c>
      <c r="Y359" t="s">
        <v>25</v>
      </c>
      <c r="AH359" s="20"/>
      <c r="AI359" s="20"/>
      <c r="AJ359" s="117"/>
      <c r="AK359" s="20"/>
      <c r="AL359" s="20">
        <f t="shared" si="88"/>
        <v>0</v>
      </c>
      <c r="AM359" s="20">
        <f t="shared" si="89"/>
        <v>0</v>
      </c>
      <c r="AN359" s="20"/>
    </row>
    <row r="360" spans="17:45" ht="60">
      <c r="Q360" s="99" t="s">
        <v>5228</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5229</v>
      </c>
      <c r="R361" s="95">
        <v>8249</v>
      </c>
      <c r="T361" s="22" t="s">
        <v>4457</v>
      </c>
      <c r="AH361" s="20"/>
      <c r="AI361" s="20"/>
      <c r="AJ361" s="117"/>
      <c r="AK361" s="20"/>
      <c r="AL361" s="20">
        <f t="shared" si="88"/>
        <v>0</v>
      </c>
      <c r="AM361" s="20">
        <f t="shared" si="89"/>
        <v>0</v>
      </c>
      <c r="AN361" s="20"/>
    </row>
    <row r="362" spans="17:45">
      <c r="Q362" s="99" t="s">
        <v>5231</v>
      </c>
      <c r="R362" s="95">
        <v>6937</v>
      </c>
      <c r="AH362" s="99"/>
      <c r="AI362" s="99"/>
      <c r="AJ362" s="117"/>
      <c r="AK362" s="99"/>
      <c r="AL362" s="20">
        <f t="shared" si="88"/>
        <v>0</v>
      </c>
      <c r="AM362" s="20">
        <f t="shared" si="89"/>
        <v>0</v>
      </c>
      <c r="AN362" s="20"/>
    </row>
    <row r="363" spans="17:45">
      <c r="Q363" s="99" t="s">
        <v>5231</v>
      </c>
      <c r="R363" s="95">
        <v>4046552</v>
      </c>
      <c r="AH363" s="99"/>
      <c r="AI363" s="99"/>
      <c r="AJ363" s="117"/>
      <c r="AK363" s="99"/>
      <c r="AL363" s="20">
        <f t="shared" si="82"/>
        <v>0</v>
      </c>
      <c r="AM363" s="20">
        <f t="shared" si="83"/>
        <v>0</v>
      </c>
      <c r="AN363" s="99"/>
    </row>
    <row r="364" spans="17:45">
      <c r="Q364" s="99" t="s">
        <v>5236</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5247</v>
      </c>
      <c r="R365" s="95">
        <v>6022</v>
      </c>
      <c r="T365" s="95">
        <f>S251+R298+R381</f>
        <v>928559366</v>
      </c>
      <c r="U365" s="95">
        <f>R222</f>
        <v>1741759256.2999997</v>
      </c>
      <c r="V365" s="95">
        <f>U365-T365</f>
        <v>813199890.29999971</v>
      </c>
      <c r="AJ365" t="s">
        <v>4056</v>
      </c>
      <c r="AM365" t="s">
        <v>284</v>
      </c>
      <c r="AN365" t="s">
        <v>941</v>
      </c>
    </row>
    <row r="366" spans="17:45">
      <c r="Q366" s="99" t="s">
        <v>5280</v>
      </c>
      <c r="R366" s="95">
        <v>400000</v>
      </c>
    </row>
    <row r="367" spans="17:45">
      <c r="Q367" s="99" t="s">
        <v>5286</v>
      </c>
      <c r="R367" s="95">
        <v>92847</v>
      </c>
      <c r="AI367" t="s">
        <v>4058</v>
      </c>
      <c r="AJ367" s="114">
        <f>AJ364+AN364</f>
        <v>507271534.00156701</v>
      </c>
    </row>
    <row r="368" spans="17:45">
      <c r="Q368" s="99" t="s">
        <v>5286</v>
      </c>
      <c r="R368" s="95">
        <v>-100000</v>
      </c>
      <c r="AI368" t="s">
        <v>4061</v>
      </c>
      <c r="AJ368" s="114">
        <f>SUM(N20:N31)</f>
        <v>750345071.5999999</v>
      </c>
    </row>
    <row r="369" spans="17:40">
      <c r="Q369" s="99" t="s">
        <v>5291</v>
      </c>
      <c r="R369" s="95">
        <v>10000000</v>
      </c>
      <c r="AI369" t="s">
        <v>4133</v>
      </c>
      <c r="AJ369" s="114">
        <f>AJ368-AJ364</f>
        <v>298257219.5999999</v>
      </c>
    </row>
    <row r="370" spans="17:40">
      <c r="Q370" s="99" t="s">
        <v>5300</v>
      </c>
      <c r="R370" s="95">
        <v>-400000</v>
      </c>
      <c r="T370" t="s">
        <v>25</v>
      </c>
      <c r="AI370" t="s">
        <v>941</v>
      </c>
      <c r="AJ370" s="114">
        <f>AN364</f>
        <v>55183682.001566999</v>
      </c>
    </row>
    <row r="371" spans="17:40">
      <c r="Q371" s="99" t="s">
        <v>5309</v>
      </c>
      <c r="R371" s="95">
        <v>5649</v>
      </c>
      <c r="T371" t="s">
        <v>25</v>
      </c>
      <c r="AI371" t="s">
        <v>4062</v>
      </c>
      <c r="AJ371" s="114">
        <f>AJ369-AJ370</f>
        <v>243073537.5984329</v>
      </c>
      <c r="AM371" t="s">
        <v>25</v>
      </c>
      <c r="AN371" t="s">
        <v>25</v>
      </c>
    </row>
    <row r="372" spans="17:40">
      <c r="Q372" s="99" t="s">
        <v>5311</v>
      </c>
      <c r="R372" s="95">
        <v>460000</v>
      </c>
      <c r="AN372" t="s">
        <v>25</v>
      </c>
    </row>
    <row r="373" spans="17:40">
      <c r="Q373" s="99" t="s">
        <v>5312</v>
      </c>
      <c r="R373" s="95">
        <v>1300000</v>
      </c>
      <c r="T373" t="s">
        <v>25</v>
      </c>
    </row>
    <row r="374" spans="17:40">
      <c r="Q374" s="99" t="s">
        <v>5312</v>
      </c>
      <c r="R374" s="95">
        <v>7300000</v>
      </c>
      <c r="T374" t="s">
        <v>25</v>
      </c>
    </row>
    <row r="375" spans="17:40">
      <c r="Q375" s="99" t="s">
        <v>990</v>
      </c>
      <c r="R375" s="95">
        <v>21203</v>
      </c>
      <c r="AN375" t="s">
        <v>25</v>
      </c>
    </row>
    <row r="376" spans="17:40">
      <c r="Q376" s="99" t="s">
        <v>4272</v>
      </c>
      <c r="R376" s="95">
        <v>34550</v>
      </c>
      <c r="AN376" t="s">
        <v>25</v>
      </c>
    </row>
    <row r="377" spans="17:40">
      <c r="Q377" s="99" t="s">
        <v>5310</v>
      </c>
      <c r="R377" s="95">
        <v>-2134406</v>
      </c>
      <c r="T377" t="s">
        <v>25</v>
      </c>
    </row>
    <row r="378" spans="17:40">
      <c r="Q378" s="99" t="s">
        <v>5378</v>
      </c>
      <c r="R378" s="95">
        <v>-618906</v>
      </c>
      <c r="T378" t="s">
        <v>25</v>
      </c>
    </row>
    <row r="379" spans="17:40">
      <c r="Q379" s="99" t="s">
        <v>5382</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M234" sqref="M23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5347</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5351</v>
      </c>
      <c r="J217" s="248">
        <f>L217-L216-50000</f>
        <v>-3947893</v>
      </c>
      <c r="K217" s="216" t="s">
        <v>5350</v>
      </c>
      <c r="L217" s="249">
        <v>1010326365</v>
      </c>
      <c r="M217" s="249">
        <v>632690003</v>
      </c>
      <c r="N217" s="248">
        <f t="shared" si="55"/>
        <v>1643016368</v>
      </c>
      <c r="O217" s="248">
        <f t="shared" si="56"/>
        <v>-2811879</v>
      </c>
      <c r="P217" s="248">
        <f>N217-N216-50000</f>
        <v>-6759772</v>
      </c>
      <c r="Q217" s="229">
        <v>50000</v>
      </c>
    </row>
    <row r="218" spans="9:19">
      <c r="I218" s="216" t="s">
        <v>5354</v>
      </c>
      <c r="J218" s="248">
        <f>L218-L217-400000</f>
        <v>-7352281</v>
      </c>
      <c r="K218" s="216" t="s">
        <v>5356</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5361</v>
      </c>
      <c r="L219" s="84">
        <v>999517682</v>
      </c>
      <c r="M219" s="84">
        <v>627640361</v>
      </c>
      <c r="N219" s="113">
        <f t="shared" si="55"/>
        <v>1627158043</v>
      </c>
      <c r="O219" s="113">
        <f t="shared" si="56"/>
        <v>-1762209</v>
      </c>
      <c r="P219" s="113">
        <f t="shared" si="57"/>
        <v>-5618611</v>
      </c>
      <c r="Q219" s="229">
        <v>0</v>
      </c>
    </row>
    <row r="220" spans="9:19">
      <c r="I220" s="189" t="s">
        <v>5364</v>
      </c>
      <c r="J220" s="188">
        <f t="shared" si="51"/>
        <v>30762624</v>
      </c>
      <c r="K220" s="189" t="s">
        <v>5363</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5375</v>
      </c>
      <c r="J222" s="280">
        <f>L222-L221+7000000</f>
        <v>4431891</v>
      </c>
      <c r="K222" s="279" t="s">
        <v>5376</v>
      </c>
      <c r="L222" s="281">
        <v>1011364540</v>
      </c>
      <c r="M222" s="281">
        <v>634014280</v>
      </c>
      <c r="N222" s="280">
        <f t="shared" si="55"/>
        <v>1645378820</v>
      </c>
      <c r="O222" s="280">
        <f t="shared" si="56"/>
        <v>-1137902</v>
      </c>
      <c r="P222" s="280">
        <f>N222-N221+7000000</f>
        <v>3293989</v>
      </c>
      <c r="Q222" s="229">
        <v>-7000000</v>
      </c>
    </row>
    <row r="223" spans="9:19">
      <c r="I223" s="216" t="s">
        <v>5379</v>
      </c>
      <c r="J223" s="248">
        <f t="shared" si="51"/>
        <v>-12364540</v>
      </c>
      <c r="K223" s="216" t="s">
        <v>5378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5381</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5382</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5383</v>
      </c>
      <c r="L226" s="84">
        <v>995000000</v>
      </c>
      <c r="M226" s="84">
        <v>625000000</v>
      </c>
      <c r="N226" s="113">
        <f t="shared" si="55"/>
        <v>1620000000</v>
      </c>
      <c r="O226" s="113">
        <f t="shared" si="56"/>
        <v>-2621912</v>
      </c>
      <c r="P226" s="113">
        <f t="shared" si="57"/>
        <v>-8262288</v>
      </c>
      <c r="Q226" s="229">
        <v>0</v>
      </c>
    </row>
    <row r="227" spans="9:19">
      <c r="I227" s="189" t="s">
        <v>5384</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5386</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5387</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5389</v>
      </c>
      <c r="L230" s="84">
        <v>981346829</v>
      </c>
      <c r="M230" s="84">
        <v>616768631</v>
      </c>
      <c r="N230" s="113">
        <f>L230+M230</f>
        <v>1598115460</v>
      </c>
      <c r="O230" s="113">
        <f t="shared" si="56"/>
        <v>-231369</v>
      </c>
      <c r="P230" s="113">
        <f t="shared" si="57"/>
        <v>-2584540</v>
      </c>
      <c r="Q230" s="229">
        <v>0</v>
      </c>
    </row>
    <row r="231" spans="9:19">
      <c r="I231" s="189" t="s">
        <v>5391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5390</v>
      </c>
      <c r="L232" s="84">
        <v>982764273</v>
      </c>
      <c r="M232" s="84">
        <v>618232370</v>
      </c>
      <c r="N232" s="113">
        <f t="shared" si="55"/>
        <v>1600996643</v>
      </c>
      <c r="O232" s="113">
        <f t="shared" si="56"/>
        <v>9817180</v>
      </c>
      <c r="P232" s="113">
        <f t="shared" si="57"/>
        <v>27833689</v>
      </c>
      <c r="Q232" s="229">
        <v>0</v>
      </c>
    </row>
    <row r="233" spans="9:19">
      <c r="I233" s="189" t="s">
        <v>5396</v>
      </c>
      <c r="J233" s="188">
        <f>L233-L232+990760</f>
        <v>270597</v>
      </c>
      <c r="K233" s="189" t="s">
        <v>5395</v>
      </c>
      <c r="L233" s="238">
        <v>982044110</v>
      </c>
      <c r="M233" s="238">
        <v>618201286</v>
      </c>
      <c r="N233" s="188">
        <f t="shared" si="55"/>
        <v>1600245396</v>
      </c>
      <c r="O233" s="188">
        <f t="shared" si="56"/>
        <v>-31084</v>
      </c>
      <c r="P233" s="188">
        <f>N233-N232+990760</f>
        <v>239513</v>
      </c>
      <c r="Q233" s="229">
        <v>-990760</v>
      </c>
    </row>
    <row r="234" spans="9:19">
      <c r="I234" s="213"/>
      <c r="J234" s="113">
        <f t="shared" si="51"/>
        <v>-982044110</v>
      </c>
      <c r="K234" s="213"/>
      <c r="L234" s="84"/>
      <c r="M234" s="84"/>
      <c r="N234" s="113">
        <f t="shared" si="55"/>
        <v>0</v>
      </c>
      <c r="O234" s="113">
        <f t="shared" si="56"/>
        <v>-618201286</v>
      </c>
      <c r="P234" s="113">
        <f t="shared" si="57"/>
        <v>-1600245396</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5356</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2019-11-19T09:48:17Z</dcterms:modified>
</cp:coreProperties>
</file>