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ذر 97" sheetId="51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آبان97" sheetId="50" r:id="rId41"/>
    <sheet name="لیست خرید و فروش" sheetId="32" r:id="rId42"/>
    <sheet name="اوراق بدون ریسک" sheetId="33" r:id="rId43"/>
    <sheet name="نکات" sheetId="35" r:id="rId44"/>
    <sheet name="سکه" sheetId="36" r:id="rId45"/>
    <sheet name="apply" sheetId="37" r:id="rId46"/>
    <sheet name="بیمه" sheetId="39" r:id="rId47"/>
    <sheet name="آرشیو قیمت ارجینال" sheetId="40" r:id="rId48"/>
    <sheet name="تحلیل1" sheetId="41" r:id="rId49"/>
  </sheets>
  <calcPr calcId="145621"/>
</workbook>
</file>

<file path=xl/calcChain.xml><?xml version="1.0" encoding="utf-8"?>
<calcChain xmlns="http://schemas.openxmlformats.org/spreadsheetml/2006/main">
  <c r="M111" i="18" l="1"/>
  <c r="L35" i="18" l="1"/>
  <c r="U112" i="18"/>
  <c r="W105" i="18" l="1"/>
  <c r="W106" i="18"/>
  <c r="W107" i="18"/>
  <c r="W108" i="18"/>
  <c r="W109" i="18"/>
  <c r="W110" i="18"/>
  <c r="W111" i="18"/>
  <c r="W104" i="18"/>
  <c r="AJ97" i="18"/>
  <c r="N51" i="18" l="1"/>
  <c r="AS37" i="18" l="1"/>
  <c r="R144" i="18" l="1"/>
  <c r="R153" i="18"/>
  <c r="R135" i="18"/>
  <c r="R127" i="18"/>
  <c r="T128" i="18" l="1"/>
  <c r="T87" i="18"/>
  <c r="S37" i="18"/>
  <c r="S38" i="18" s="1"/>
  <c r="S39" i="18" s="1"/>
  <c r="R109" i="18"/>
  <c r="R108" i="18"/>
  <c r="R107" i="18"/>
  <c r="AJ139" i="18"/>
  <c r="P25" i="18"/>
  <c r="N25" i="18" s="1"/>
  <c r="D49" i="51"/>
  <c r="L22" i="18" s="1"/>
  <c r="S40" i="18" l="1"/>
  <c r="P30" i="18" l="1"/>
  <c r="N30" i="18" s="1"/>
  <c r="P23" i="18"/>
  <c r="N23" i="18" s="1"/>
  <c r="N46" i="18"/>
  <c r="M74" i="18" l="1"/>
  <c r="P28" i="18" l="1"/>
  <c r="N28" i="18" s="1"/>
  <c r="C2" i="51" l="1"/>
  <c r="H2" i="51" s="1"/>
  <c r="B2" i="51"/>
  <c r="G33" i="48"/>
  <c r="H26" i="51"/>
  <c r="G26" i="51"/>
  <c r="D26" i="51"/>
  <c r="I26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28" i="51" l="1"/>
  <c r="B27" i="51"/>
  <c r="C27" i="51"/>
  <c r="H28" i="51"/>
  <c r="D2" i="51"/>
  <c r="R10" i="49"/>
  <c r="S10" i="49"/>
  <c r="R9" i="49"/>
  <c r="H33" i="51" l="1"/>
  <c r="D27" i="51"/>
  <c r="I2" i="51"/>
  <c r="I28" i="51" s="1"/>
  <c r="I33" i="51" s="1"/>
  <c r="S20" i="18"/>
  <c r="S21" i="18" s="1"/>
  <c r="P29" i="18" l="1"/>
  <c r="N29" i="18" s="1"/>
  <c r="Q42" i="18" l="1"/>
  <c r="R106" i="18"/>
  <c r="N50" i="18"/>
  <c r="N49" i="18" l="1"/>
  <c r="D108" i="50" l="1"/>
  <c r="P24" i="18" l="1"/>
  <c r="N48" i="18"/>
  <c r="C8" i="36" l="1"/>
  <c r="N43" i="18" l="1"/>
  <c r="N22" i="33" l="1"/>
  <c r="R22" i="33" s="1"/>
  <c r="E22" i="33"/>
  <c r="AL96" i="18"/>
  <c r="AL95" i="18" s="1"/>
  <c r="C22" i="33" l="1"/>
  <c r="J22" i="33"/>
  <c r="F22" i="33"/>
  <c r="AL94" i="18"/>
  <c r="AM95" i="18"/>
  <c r="AM96" i="18"/>
  <c r="B22" i="33"/>
  <c r="I22" i="33"/>
  <c r="L22" i="33"/>
  <c r="H22" i="33"/>
  <c r="D22" i="33"/>
  <c r="K22" i="33"/>
  <c r="G22" i="33"/>
  <c r="AL93" i="18" l="1"/>
  <c r="AM94" i="18"/>
  <c r="AL137" i="18"/>
  <c r="AL92" i="18" l="1"/>
  <c r="AM93" i="18"/>
  <c r="AM137" i="18"/>
  <c r="AL136" i="18"/>
  <c r="S22" i="18"/>
  <c r="S23" i="18" s="1"/>
  <c r="S24" i="18" s="1"/>
  <c r="P22" i="18"/>
  <c r="N22" i="18" s="1"/>
  <c r="N47" i="18"/>
  <c r="AL91" i="18" l="1"/>
  <c r="AM92" i="18"/>
  <c r="AL135" i="18"/>
  <c r="AM136" i="18"/>
  <c r="AL90" i="18" l="1"/>
  <c r="AM91" i="18"/>
  <c r="S25" i="18"/>
  <c r="AL134" i="18"/>
  <c r="AM135" i="18"/>
  <c r="S26" i="18" l="1"/>
  <c r="S27" i="18" s="1"/>
  <c r="S28" i="18" s="1"/>
  <c r="S29" i="18" s="1"/>
  <c r="S30" i="18" s="1"/>
  <c r="AL89" i="18"/>
  <c r="AM90" i="18"/>
  <c r="AL133" i="18"/>
  <c r="AM134" i="18"/>
  <c r="N74" i="18"/>
  <c r="AL88" i="18" l="1"/>
  <c r="AM89" i="18"/>
  <c r="AL132" i="18"/>
  <c r="AM133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L87" i="18" l="1"/>
  <c r="AM88" i="18"/>
  <c r="AL131" i="18"/>
  <c r="AM132" i="18"/>
  <c r="D73" i="48"/>
  <c r="N24" i="18"/>
  <c r="AL86" i="18" l="1"/>
  <c r="AM87" i="18"/>
  <c r="AL130" i="18"/>
  <c r="AM131" i="18"/>
  <c r="N37" i="18"/>
  <c r="AL85" i="18" l="1"/>
  <c r="AM86" i="18"/>
  <c r="AL129" i="18"/>
  <c r="AM130" i="18"/>
  <c r="P55" i="18"/>
  <c r="AL84" i="18" l="1"/>
  <c r="AM85" i="18"/>
  <c r="AL128" i="18"/>
  <c r="AM129" i="18"/>
  <c r="AM84" i="18" l="1"/>
  <c r="AL83" i="18"/>
  <c r="AL127" i="18"/>
  <c r="AM128" i="18"/>
  <c r="N23" i="33"/>
  <c r="D23" i="33" s="1"/>
  <c r="AL82" i="18" l="1"/>
  <c r="AM83" i="18"/>
  <c r="AL126" i="18"/>
  <c r="AM12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81" i="18" l="1"/>
  <c r="AM82" i="18"/>
  <c r="AL125" i="18"/>
  <c r="AM126" i="18"/>
  <c r="P21" i="18"/>
  <c r="N21" i="18" s="1"/>
  <c r="R105" i="18" s="1"/>
  <c r="B263" i="15"/>
  <c r="AJ143" i="18" l="1"/>
  <c r="AJ144" i="18" s="1"/>
  <c r="Q32" i="18"/>
  <c r="AL80" i="18"/>
  <c r="AM80" i="18" s="1"/>
  <c r="AM81" i="18"/>
  <c r="AM125" i="18"/>
  <c r="AL124" i="18"/>
  <c r="S51" i="18"/>
  <c r="S52" i="18" s="1"/>
  <c r="AL123" i="18" l="1"/>
  <c r="AM124" i="18"/>
  <c r="S53" i="18"/>
  <c r="S54" i="18" s="1"/>
  <c r="AM123" i="18" l="1"/>
  <c r="AL122" i="18"/>
  <c r="P45" i="18"/>
  <c r="AM122" i="18" l="1"/>
  <c r="AL121" i="18"/>
  <c r="AL120" i="18" l="1"/>
  <c r="AM121" i="18"/>
  <c r="C267" i="20"/>
  <c r="AL119" i="18" l="1"/>
  <c r="AM120" i="18"/>
  <c r="B8" i="36"/>
  <c r="AL118" i="18" l="1"/>
  <c r="AM119" i="18"/>
  <c r="B10" i="36"/>
  <c r="AL117" i="18" l="1"/>
  <c r="AM118" i="18"/>
  <c r="S55" i="18"/>
  <c r="S56" i="18" s="1"/>
  <c r="S57" i="18" s="1"/>
  <c r="S58" i="18" s="1"/>
  <c r="S59" i="18" s="1"/>
  <c r="S60" i="18" s="1"/>
  <c r="S61" i="18" s="1"/>
  <c r="S62" i="18" s="1"/>
  <c r="S63" i="18" s="1"/>
  <c r="S64" i="18" l="1"/>
  <c r="S65" i="18" s="1"/>
  <c r="S66" i="18" s="1"/>
  <c r="S67" i="18" s="1"/>
  <c r="AL116" i="18"/>
  <c r="AM117" i="18"/>
  <c r="N25" i="33"/>
  <c r="N24" i="33"/>
  <c r="N21" i="33"/>
  <c r="N20" i="33"/>
  <c r="N19" i="33"/>
  <c r="N18" i="33"/>
  <c r="L18" i="33" s="1"/>
  <c r="N17" i="33"/>
  <c r="N9" i="33"/>
  <c r="N3" i="33"/>
  <c r="N4" i="33"/>
  <c r="S68" i="18" l="1"/>
  <c r="AL115" i="18"/>
  <c r="AM116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S69" i="18" l="1"/>
  <c r="S70" i="18" s="1"/>
  <c r="S71" i="18" s="1"/>
  <c r="S72" i="18" s="1"/>
  <c r="S73" i="18" s="1"/>
  <c r="S74" i="18" s="1"/>
  <c r="AL114" i="18"/>
  <c r="AM114" i="18" s="1"/>
  <c r="AM115" i="18"/>
  <c r="AC15" i="33"/>
  <c r="S75" i="18" l="1"/>
  <c r="S76" i="18" s="1"/>
  <c r="S77" i="18" s="1"/>
  <c r="AM139" i="18"/>
  <c r="N16" i="33"/>
  <c r="AN139" i="18" l="1"/>
  <c r="AJ142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J145" i="18" l="1"/>
  <c r="AJ146" i="18" s="1"/>
  <c r="K256" i="20"/>
  <c r="K257" i="20"/>
  <c r="K258" i="20"/>
  <c r="K259" i="20"/>
  <c r="K260" i="20"/>
  <c r="K261" i="20"/>
  <c r="K262" i="20"/>
  <c r="K263" i="20"/>
  <c r="K264" i="20"/>
  <c r="K265" i="20"/>
  <c r="K266" i="20"/>
  <c r="J256" i="20"/>
  <c r="J257" i="20"/>
  <c r="J258" i="20"/>
  <c r="J259" i="20"/>
  <c r="J260" i="20"/>
  <c r="J261" i="20"/>
  <c r="J262" i="20"/>
  <c r="J263" i="20"/>
  <c r="J264" i="20"/>
  <c r="J265" i="20"/>
  <c r="J266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J255" i="20" l="1"/>
  <c r="K255" i="20"/>
  <c r="I255" i="20"/>
  <c r="J254" i="20"/>
  <c r="K254" i="20"/>
  <c r="I254" i="20"/>
  <c r="K253" i="20"/>
  <c r="J253" i="20"/>
  <c r="I253" i="20"/>
  <c r="K252" i="20"/>
  <c r="J252" i="20"/>
  <c r="I252" i="20"/>
  <c r="J251" i="20"/>
  <c r="K251" i="20"/>
  <c r="I251" i="20"/>
  <c r="K250" i="20"/>
  <c r="J250" i="20"/>
  <c r="I250" i="20"/>
  <c r="J249" i="20"/>
  <c r="K249" i="20"/>
  <c r="I249" i="20"/>
  <c r="I248" i="20"/>
  <c r="J248" i="20"/>
  <c r="K248" i="20"/>
  <c r="J247" i="20"/>
  <c r="K247" i="20"/>
  <c r="I247" i="20"/>
  <c r="I246" i="20"/>
  <c r="J246" i="20"/>
  <c r="K246" i="20"/>
  <c r="I245" i="20"/>
  <c r="K245" i="20"/>
  <c r="J245" i="20"/>
  <c r="K244" i="20"/>
  <c r="J244" i="20"/>
  <c r="I244" i="20"/>
  <c r="J243" i="20"/>
  <c r="K243" i="20"/>
  <c r="K242" i="20"/>
  <c r="I243" i="20"/>
  <c r="K241" i="20"/>
  <c r="J242" i="20"/>
  <c r="I242" i="20"/>
  <c r="I241" i="20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45" i="18" l="1"/>
  <c r="AR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AL77" i="18" l="1"/>
  <c r="AM78" i="18"/>
  <c r="N55" i="18"/>
  <c r="AL76" i="18" l="1"/>
  <c r="AM77" i="18"/>
  <c r="AL75" i="18" l="1"/>
  <c r="AM76" i="18"/>
  <c r="N44" i="18"/>
  <c r="R104" i="18" s="1"/>
  <c r="R113" i="18" s="1"/>
  <c r="U128" i="18" s="1"/>
  <c r="T115" i="18" l="1"/>
  <c r="S92" i="18" s="1"/>
  <c r="Q79" i="18"/>
  <c r="AJ103" i="18"/>
  <c r="AJ104" i="18" s="1"/>
  <c r="AL74" i="18"/>
  <c r="AM75" i="18"/>
  <c r="AL73" i="18" l="1"/>
  <c r="AM74" i="18"/>
  <c r="N80" i="18"/>
  <c r="V76" i="18" l="1"/>
  <c r="V77" i="18"/>
  <c r="W76" i="18"/>
  <c r="X76" i="18"/>
  <c r="V73" i="18"/>
  <c r="W73" i="18" s="1"/>
  <c r="V75" i="18"/>
  <c r="V74" i="18"/>
  <c r="V128" i="18"/>
  <c r="V72" i="18"/>
  <c r="V71" i="18"/>
  <c r="V38" i="18"/>
  <c r="X38" i="18" s="1"/>
  <c r="V40" i="18"/>
  <c r="V39" i="18"/>
  <c r="V68" i="18"/>
  <c r="V70" i="18"/>
  <c r="V69" i="18"/>
  <c r="V30" i="18"/>
  <c r="V29" i="18"/>
  <c r="V67" i="18"/>
  <c r="V28" i="18"/>
  <c r="V26" i="18"/>
  <c r="V27" i="18"/>
  <c r="V65" i="18"/>
  <c r="V66" i="18"/>
  <c r="V25" i="18"/>
  <c r="V64" i="18"/>
  <c r="V63" i="18"/>
  <c r="V62" i="18"/>
  <c r="V61" i="18"/>
  <c r="V60" i="18"/>
  <c r="V24" i="18"/>
  <c r="V59" i="18"/>
  <c r="V57" i="18"/>
  <c r="V58" i="18"/>
  <c r="V55" i="18"/>
  <c r="V56" i="18"/>
  <c r="V54" i="18"/>
  <c r="V21" i="18"/>
  <c r="V23" i="18"/>
  <c r="V50" i="18"/>
  <c r="V20" i="18"/>
  <c r="V22" i="18"/>
  <c r="V51" i="18"/>
  <c r="V52" i="18"/>
  <c r="V53" i="18"/>
  <c r="AL72" i="18"/>
  <c r="AM73" i="18"/>
  <c r="X77" i="18" l="1"/>
  <c r="W77" i="18"/>
  <c r="X73" i="18"/>
  <c r="W74" i="18"/>
  <c r="X74" i="18"/>
  <c r="W75" i="18"/>
  <c r="X75" i="18"/>
  <c r="V118" i="18"/>
  <c r="S91" i="18"/>
  <c r="U91" i="18" s="1"/>
  <c r="V91" i="18" s="1"/>
  <c r="S90" i="18"/>
  <c r="N33" i="18" s="1"/>
  <c r="L21" i="18" s="1"/>
  <c r="N58" i="18"/>
  <c r="S89" i="18"/>
  <c r="W38" i="18"/>
  <c r="W71" i="18"/>
  <c r="X71" i="18"/>
  <c r="X72" i="18"/>
  <c r="W72" i="18"/>
  <c r="X39" i="18"/>
  <c r="W39" i="18"/>
  <c r="W40" i="18"/>
  <c r="X40" i="18"/>
  <c r="W22" i="18"/>
  <c r="X22" i="18"/>
  <c r="W21" i="18"/>
  <c r="X21" i="18"/>
  <c r="W58" i="18"/>
  <c r="X58" i="18"/>
  <c r="W60" i="18"/>
  <c r="X60" i="18"/>
  <c r="W64" i="18"/>
  <c r="X64" i="18"/>
  <c r="X65" i="18"/>
  <c r="W65" i="18"/>
  <c r="W67" i="18"/>
  <c r="X67" i="18"/>
  <c r="W53" i="18"/>
  <c r="X53" i="18"/>
  <c r="W57" i="18"/>
  <c r="X57" i="18"/>
  <c r="W61" i="18"/>
  <c r="X61" i="18"/>
  <c r="W27" i="18"/>
  <c r="X27" i="18"/>
  <c r="W29" i="18"/>
  <c r="X29" i="18"/>
  <c r="W70" i="18"/>
  <c r="X70" i="18"/>
  <c r="W20" i="18"/>
  <c r="X20" i="18"/>
  <c r="W56" i="18"/>
  <c r="X56" i="18"/>
  <c r="W62" i="18"/>
  <c r="X62" i="18"/>
  <c r="W25" i="18"/>
  <c r="X25" i="18"/>
  <c r="W26" i="18"/>
  <c r="X26" i="18"/>
  <c r="X68" i="18"/>
  <c r="W68" i="18"/>
  <c r="W54" i="18"/>
  <c r="X54" i="18"/>
  <c r="W52" i="18"/>
  <c r="X52" i="18"/>
  <c r="W50" i="18"/>
  <c r="X50" i="18"/>
  <c r="W59" i="18"/>
  <c r="X59" i="18"/>
  <c r="W51" i="18"/>
  <c r="X51" i="18"/>
  <c r="W23" i="18"/>
  <c r="X23" i="18"/>
  <c r="W55" i="18"/>
  <c r="X55" i="18"/>
  <c r="X24" i="18"/>
  <c r="W24" i="18"/>
  <c r="W63" i="18"/>
  <c r="X63" i="18"/>
  <c r="W66" i="18"/>
  <c r="X66" i="18"/>
  <c r="W28" i="18"/>
  <c r="X28" i="18"/>
  <c r="X69" i="18"/>
  <c r="W69" i="18"/>
  <c r="W30" i="18"/>
  <c r="X30" i="18"/>
  <c r="AL71" i="18"/>
  <c r="AM72" i="18"/>
  <c r="U90" i="18" l="1"/>
  <c r="V90" i="18" s="1"/>
  <c r="N57" i="18"/>
  <c r="AL70" i="18"/>
  <c r="AM71" i="18"/>
  <c r="AL69" i="18" l="1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L68" i="18" l="1"/>
  <c r="AM69" i="18"/>
  <c r="N2" i="33"/>
  <c r="AL67" i="18" l="1"/>
  <c r="AM68" i="18"/>
  <c r="I2" i="33"/>
  <c r="E2" i="33"/>
  <c r="J2" i="33"/>
  <c r="F2" i="33"/>
  <c r="K2" i="33"/>
  <c r="G2" i="33"/>
  <c r="D2" i="33"/>
  <c r="C2" i="33"/>
  <c r="H2" i="33"/>
  <c r="D73" i="45"/>
  <c r="AL66" i="18" l="1"/>
  <c r="AM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L65" i="18" l="1"/>
  <c r="AM66" i="18"/>
  <c r="E45" i="14"/>
  <c r="AL64" i="18" l="1"/>
  <c r="AM65" i="18"/>
  <c r="E44" i="14"/>
  <c r="AM64" i="18" l="1"/>
  <c r="AL63" i="18"/>
  <c r="E43" i="14"/>
  <c r="AL62" i="18" l="1"/>
  <c r="AM63" i="18"/>
  <c r="E42" i="14"/>
  <c r="G42" i="14" s="1"/>
  <c r="AL61" i="18" l="1"/>
  <c r="AM62" i="18"/>
  <c r="E41" i="14"/>
  <c r="G41" i="14" s="1"/>
  <c r="AM61" i="18" l="1"/>
  <c r="AL60" i="18"/>
  <c r="E40" i="14"/>
  <c r="G40" i="14" s="1"/>
  <c r="AL59" i="18" l="1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M59" i="18" l="1"/>
  <c r="AL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L57" i="18" l="1"/>
  <c r="AM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L56" i="18" l="1"/>
  <c r="AM57" i="18"/>
  <c r="E36" i="14"/>
  <c r="G36" i="14" s="1"/>
  <c r="B105" i="13"/>
  <c r="B196" i="13" s="1"/>
  <c r="F105" i="13" l="1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M55" i="18" l="1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L53" i="18" l="1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H33" i="48" l="1"/>
  <c r="B27" i="50"/>
  <c r="D2" i="50"/>
  <c r="G2" i="50"/>
  <c r="G28" i="50" s="1"/>
  <c r="AL51" i="18"/>
  <c r="AM52" i="18"/>
  <c r="D27" i="48"/>
  <c r="E253" i="15"/>
  <c r="E252" i="15"/>
  <c r="G33" i="50" l="1"/>
  <c r="H33" i="50" s="1"/>
  <c r="I33" i="48"/>
  <c r="I2" i="50"/>
  <c r="I28" i="50" s="1"/>
  <c r="I33" i="50" s="1"/>
  <c r="D27" i="50"/>
  <c r="AL50" i="18"/>
  <c r="AM51" i="18"/>
  <c r="E251" i="15"/>
  <c r="E250" i="15"/>
  <c r="D171" i="20"/>
  <c r="AM50" i="18" l="1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L48" i="18" l="1"/>
  <c r="AM49" i="18"/>
  <c r="E30" i="14"/>
  <c r="G31" i="14"/>
  <c r="E248" i="15"/>
  <c r="AL47" i="18" l="1"/>
  <c r="AM48" i="18"/>
  <c r="E29" i="14"/>
  <c r="G30" i="14"/>
  <c r="E247" i="15"/>
  <c r="E246" i="15"/>
  <c r="AL46" i="18" l="1"/>
  <c r="AM47" i="18"/>
  <c r="E28" i="14"/>
  <c r="G29" i="14"/>
  <c r="E245" i="15"/>
  <c r="AM46" i="18" l="1"/>
  <c r="AL45" i="18"/>
  <c r="E27" i="14"/>
  <c r="G28" i="14"/>
  <c r="N15" i="33"/>
  <c r="E244" i="15"/>
  <c r="AL44" i="18" l="1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L43" i="18" l="1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M43" i="18" l="1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L41" i="18" l="1"/>
  <c r="AM42" i="18"/>
  <c r="E23" i="14"/>
  <c r="G24" i="14"/>
  <c r="H25" i="43"/>
  <c r="G2" i="43"/>
  <c r="G25" i="43" s="1"/>
  <c r="G30" i="43" s="1"/>
  <c r="H30" i="43" s="1"/>
  <c r="AM41" i="18" l="1"/>
  <c r="AL40" i="18"/>
  <c r="E22" i="14"/>
  <c r="G23" i="14"/>
  <c r="I2" i="43"/>
  <c r="I25" i="43" s="1"/>
  <c r="I30" i="43" s="1"/>
  <c r="D24" i="43"/>
  <c r="AL39" i="18" l="1"/>
  <c r="AM40" i="18"/>
  <c r="E21" i="14"/>
  <c r="E20" i="14" s="1"/>
  <c r="E19" i="14" s="1"/>
  <c r="E18" i="14" s="1"/>
  <c r="G22" i="14"/>
  <c r="E243" i="15"/>
  <c r="AM39" i="18" l="1"/>
  <c r="AL38" i="18"/>
  <c r="E242" i="15"/>
  <c r="AL37" i="18" l="1"/>
  <c r="AM38" i="18"/>
  <c r="J57" i="33"/>
  <c r="J55" i="33"/>
  <c r="J54" i="33"/>
  <c r="AL36" i="18" l="1"/>
  <c r="AM37" i="18"/>
  <c r="L57" i="33"/>
  <c r="E241" i="15"/>
  <c r="AM36" i="18" l="1"/>
  <c r="AL35" i="18"/>
  <c r="D168" i="20"/>
  <c r="AL34" i="18" l="1"/>
  <c r="AM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L33" i="18" l="1"/>
  <c r="AM34" i="18"/>
  <c r="D252" i="15"/>
  <c r="F253" i="15"/>
  <c r="AL32" i="18" l="1"/>
  <c r="AM33" i="18"/>
  <c r="D251" i="15"/>
  <c r="F252" i="15"/>
  <c r="AL31" i="18" l="1"/>
  <c r="AM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L30" i="18" l="1"/>
  <c r="AM31" i="18"/>
  <c r="D249" i="15"/>
  <c r="F250" i="15"/>
  <c r="L60" i="32"/>
  <c r="L48" i="32"/>
  <c r="AL29" i="18" l="1"/>
  <c r="AM30" i="18"/>
  <c r="F249" i="15"/>
  <c r="D248" i="15"/>
  <c r="AM29" i="18" l="1"/>
  <c r="AL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L26" i="18" l="1"/>
  <c r="AM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L25" i="18" l="1"/>
  <c r="AM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L24" i="18" l="1"/>
  <c r="AM25" i="18"/>
  <c r="E178" i="13"/>
  <c r="G179" i="13"/>
  <c r="D243" i="15"/>
  <c r="F244" i="15"/>
  <c r="AM24" i="18" l="1"/>
  <c r="AL23" i="18"/>
  <c r="E177" i="13"/>
  <c r="G178" i="13"/>
  <c r="F243" i="15"/>
  <c r="D242" i="15"/>
  <c r="AM23" i="18" l="1"/>
  <c r="AL22" i="18"/>
  <c r="E176" i="13"/>
  <c r="G177" i="13"/>
  <c r="F242" i="15"/>
  <c r="D241" i="15"/>
  <c r="D165" i="20"/>
  <c r="AL21" i="18" l="1"/>
  <c r="AL20" i="18" s="1"/>
  <c r="AM22" i="18"/>
  <c r="E175" i="13"/>
  <c r="G176" i="13"/>
  <c r="F241" i="15"/>
  <c r="D240" i="15"/>
  <c r="D164" i="20"/>
  <c r="AM21" i="18" l="1"/>
  <c r="AM20" i="18"/>
  <c r="AM97" i="18" s="1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AN97" i="18" l="1"/>
  <c r="AJ102" i="18" s="1"/>
  <c r="AJ106" i="18" s="1"/>
  <c r="E172" i="13"/>
  <c r="G173" i="13"/>
  <c r="D237" i="15"/>
  <c r="F238" i="15"/>
  <c r="D62" i="38"/>
  <c r="AJ105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61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2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1" i="18" s="1"/>
  <c r="L62" i="18" l="1"/>
  <c r="F22" i="18"/>
  <c r="E33" i="13"/>
  <c r="G34" i="13"/>
  <c r="I97" i="20"/>
  <c r="K97" i="20"/>
  <c r="J97" i="20"/>
  <c r="F108" i="15"/>
  <c r="C20" i="18"/>
  <c r="G20" i="14"/>
  <c r="G21" i="14"/>
  <c r="L63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U89" i="18" l="1"/>
  <c r="V89" i="18" s="1"/>
  <c r="U92" i="18"/>
  <c r="V92" i="18" s="1"/>
</calcChain>
</file>

<file path=xl/sharedStrings.xml><?xml version="1.0" encoding="utf-8"?>
<sst xmlns="http://schemas.openxmlformats.org/spreadsheetml/2006/main" count="9714" uniqueCount="4565">
  <si>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</si>
  <si>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</si>
  <si>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</si>
  <si>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</si>
  <si>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</si>
  <si>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</si>
  <si>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</si>
  <si>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</si>
  <si>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</si>
  <si>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</si>
  <si>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</si>
  <si>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</si>
  <si>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</si>
  <si>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</si>
  <si>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</si>
  <si>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</si>
  <si>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</si>
  <si>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</si>
  <si>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</si>
  <si>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</si>
  <si>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</si>
  <si>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</si>
  <si>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</si>
  <si>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</si>
  <si>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</si>
  <si>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</si>
  <si>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</si>
  <si>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</si>
  <si>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</si>
  <si>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</si>
  <si>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</si>
  <si>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</si>
  <si>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</si>
  <si>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</si>
  <si>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</si>
  <si>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</si>
  <si>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</si>
  <si>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</si>
  <si>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</si>
  <si>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</si>
  <si>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</si>
  <si>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</si>
  <si>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</si>
  <si>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</si>
  <si>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</si>
  <si>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</si>
  <si>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</si>
  <si>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</si>
  <si>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</si>
  <si>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</si>
  <si>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</si>
  <si>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</si>
  <si>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</si>
  <si>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</si>
  <si>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</si>
  <si>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</si>
  <si>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</si>
  <si>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</si>
  <si>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</si>
  <si>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</si>
  <si>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</si>
  <si>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</si>
  <si>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</si>
  <si>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</si>
  <si>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</si>
  <si>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</si>
  <si>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</si>
  <si>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</si>
  <si>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</si>
  <si>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</si>
  <si>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</si>
  <si>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</si>
  <si>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</si>
  <si>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</si>
  <si>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</si>
  <si>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</si>
  <si>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</si>
  <si>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</si>
  <si>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</si>
  <si>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</si>
  <si>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</si>
  <si>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</si>
  <si>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</si>
  <si>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</si>
  <si>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</si>
  <si>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</si>
  <si>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</si>
  <si>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</si>
  <si>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</si>
  <si>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</si>
  <si>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</si>
  <si>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</si>
  <si>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</si>
  <si>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</si>
  <si>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</si>
  <si>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</si>
  <si>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</si>
  <si>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</si>
  <si>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</si>
  <si>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</si>
  <si>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</si>
  <si>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</si>
  <si>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</si>
  <si>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</si>
  <si>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</si>
  <si>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</si>
  <si>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</si>
  <si>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</si>
  <si>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</si>
  <si>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</si>
  <si>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</si>
  <si>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</si>
  <si>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</si>
  <si>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</si>
  <si>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</si>
  <si>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</si>
  <si>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</si>
  <si>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</si>
  <si>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</si>
  <si>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</si>
  <si>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</si>
  <si>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</si>
  <si>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</si>
  <si>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</si>
  <si>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</si>
  <si>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</si>
  <si>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</si>
  <si>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</si>
  <si>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</si>
  <si>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</si>
  <si>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</si>
  <si>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</si>
  <si>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</si>
  <si>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</si>
  <si>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</si>
  <si>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</si>
  <si>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</si>
  <si>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</si>
  <si>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</si>
  <si>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</si>
  <si>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</si>
  <si>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</si>
  <si>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</si>
  <si>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</si>
  <si>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</si>
  <si>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</si>
  <si>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</si>
  <si>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</si>
  <si>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</si>
  <si>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</si>
  <si>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</si>
  <si>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</si>
  <si>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</si>
  <si>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</si>
  <si>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</si>
  <si>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</si>
  <si>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</si>
  <si>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</si>
  <si>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</si>
  <si>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</si>
  <si>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</si>
  <si>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</si>
  <si>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</si>
  <si>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</si>
  <si>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</si>
  <si>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</si>
  <si>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</si>
  <si>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</si>
  <si>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</si>
  <si>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</si>
  <si>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</si>
  <si>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</si>
  <si>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</si>
  <si>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</si>
  <si>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</si>
  <si>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</si>
  <si>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</si>
  <si>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</si>
  <si>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</si>
  <si>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</si>
  <si>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</si>
  <si>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</si>
  <si>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</si>
  <si>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</si>
  <si>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</si>
  <si>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</si>
  <si>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</si>
  <si>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</si>
  <si>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</si>
  <si>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</si>
  <si>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</si>
  <si>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</si>
  <si>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</si>
  <si>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</si>
  <si>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</si>
  <si>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</si>
  <si>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</si>
  <si>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</si>
  <si>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</si>
  <si>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</si>
  <si>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</si>
  <si>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</si>
  <si>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</si>
  <si>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</si>
  <si>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</si>
  <si>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</si>
  <si>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</si>
  <si>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</si>
  <si>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</si>
  <si>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</si>
  <si>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</si>
  <si>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</si>
  <si>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</si>
  <si>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</si>
  <si>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</si>
  <si>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</si>
  <si>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</si>
  <si>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</si>
  <si>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</si>
  <si>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</si>
  <si>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</si>
  <si>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</si>
  <si>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</si>
  <si>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</si>
  <si>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</si>
  <si>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</si>
  <si>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</si>
  <si>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</si>
  <si>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</si>
  <si>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</si>
  <si>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</si>
  <si>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</si>
  <si>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</si>
  <si>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</si>
  <si>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</si>
  <si>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</si>
  <si>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</si>
  <si>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</si>
  <si>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</si>
  <si>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</si>
  <si>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</si>
  <si>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</si>
  <si>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</si>
  <si>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</si>
  <si>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</si>
  <si>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</si>
  <si>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</si>
  <si>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</si>
  <si>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</si>
  <si>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</si>
  <si>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</si>
  <si>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</si>
  <si>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</si>
  <si>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</si>
  <si>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</si>
  <si>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</si>
  <si>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</si>
  <si>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</si>
  <si>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</si>
  <si>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</si>
  <si>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</si>
  <si>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</si>
  <si>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</si>
  <si>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</si>
  <si>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</si>
  <si>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</si>
  <si>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</si>
  <si>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</si>
  <si>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</si>
  <si>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</si>
  <si>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</si>
  <si>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</si>
  <si>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</si>
  <si>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</si>
  <si>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</si>
  <si>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</si>
  <si>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</si>
  <si>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</si>
  <si>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</si>
  <si>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</si>
  <si>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</si>
  <si>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</si>
  <si>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</si>
  <si>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</si>
  <si>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</si>
  <si>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</si>
  <si>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</si>
  <si>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</si>
  <si>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</si>
  <si>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</si>
  <si>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</si>
  <si>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</si>
  <si>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</si>
  <si>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</si>
  <si>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</si>
  <si>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</si>
  <si>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</si>
  <si>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</si>
  <si>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</si>
  <si>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</si>
  <si>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</si>
  <si>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</si>
  <si>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</si>
  <si>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</si>
  <si>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</si>
  <si>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</si>
  <si>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</si>
  <si>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</si>
  <si>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</si>
  <si>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</si>
  <si>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</si>
  <si>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</si>
  <si>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</si>
  <si>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</si>
  <si>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</si>
  <si>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</si>
  <si>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</si>
  <si>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</si>
  <si>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</si>
  <si>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</si>
  <si>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</si>
  <si>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</si>
  <si>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</si>
  <si>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</si>
  <si>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</si>
  <si>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</si>
  <si>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</si>
  <si>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</si>
  <si>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</si>
  <si>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</si>
  <si>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</si>
  <si>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</si>
  <si>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</si>
  <si>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</si>
  <si>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</si>
  <si>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</si>
  <si>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</si>
  <si>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</si>
  <si>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</si>
  <si>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</si>
  <si>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</si>
  <si>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</si>
  <si>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</si>
  <si>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</si>
  <si>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</si>
  <si>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</si>
  <si>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</si>
  <si>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</si>
  <si>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</si>
  <si>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</si>
  <si>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</si>
  <si>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</si>
  <si>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</si>
  <si>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</si>
  <si>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</si>
  <si>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</si>
  <si>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</si>
  <si>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</si>
  <si>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</si>
  <si>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</si>
  <si>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</si>
  <si>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</si>
  <si>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</si>
  <si>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</si>
  <si>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</si>
  <si>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</si>
  <si>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</si>
  <si>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</si>
  <si>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</si>
  <si>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</si>
  <si>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</si>
  <si>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</si>
  <si>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</si>
  <si>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</si>
  <si>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</si>
  <si>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</si>
  <si>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</si>
  <si>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</si>
  <si>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</si>
  <si>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</si>
  <si>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</si>
  <si>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</si>
  <si>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</si>
  <si>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</si>
  <si>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</si>
  <si>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</si>
  <si>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</si>
  <si>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</si>
  <si>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</si>
  <si>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</si>
  <si>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</si>
  <si>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</si>
  <si>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</si>
  <si>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</si>
  <si>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</si>
  <si>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</si>
  <si>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</si>
  <si>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</si>
  <si>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</si>
  <si>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</si>
  <si>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</si>
  <si>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</si>
  <si>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</si>
  <si>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</si>
  <si>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</si>
  <si>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</si>
  <si>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</si>
  <si>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</si>
  <si>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</si>
  <si>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</si>
  <si>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</si>
  <si>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</si>
  <si>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</si>
  <si>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</si>
  <si>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</si>
  <si>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</si>
  <si>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</si>
  <si>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</si>
  <si>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</si>
  <si>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</si>
  <si>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</si>
  <si>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</si>
  <si>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</si>
  <si>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</si>
  <si>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</si>
  <si>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</si>
  <si>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</si>
  <si>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</si>
  <si>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</si>
  <si>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</si>
  <si>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</si>
  <si>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</si>
  <si>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</si>
  <si>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</si>
  <si>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</si>
  <si>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</si>
  <si>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</si>
  <si>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</si>
  <si>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</si>
  <si>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</si>
  <si>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</si>
  <si>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</si>
  <si>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</si>
  <si>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</si>
  <si>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</si>
  <si>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</si>
  <si>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</si>
  <si>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</si>
  <si>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</si>
  <si>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</si>
  <si>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</si>
  <si>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</si>
  <si>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</si>
  <si>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</si>
  <si>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</si>
  <si>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</si>
  <si>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</si>
  <si>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</si>
  <si>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</si>
  <si>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</si>
  <si>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</si>
  <si>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</si>
  <si>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</si>
  <si>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</si>
  <si>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</si>
  <si>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</si>
  <si>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</si>
  <si>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</si>
  <si>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</si>
  <si>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</si>
  <si>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</si>
  <si>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</si>
  <si>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</si>
  <si>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</si>
  <si>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</si>
  <si>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</si>
  <si>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</si>
  <si>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</si>
  <si>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</si>
  <si>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</si>
  <si>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</si>
  <si>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</si>
  <si>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</si>
  <si>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</si>
  <si>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</si>
  <si>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</si>
  <si>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</si>
  <si>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</si>
  <si>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</si>
  <si>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</si>
  <si>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</si>
  <si>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</si>
  <si>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</si>
  <si>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</si>
  <si>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</si>
  <si>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</si>
  <si>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</si>
  <si>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</si>
  <si>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</si>
  <si>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</si>
  <si>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</si>
  <si>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</si>
  <si>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</si>
  <si>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</si>
  <si>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</si>
  <si>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</si>
  <si>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</si>
  <si>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</si>
  <si>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</si>
  <si>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</si>
  <si>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</si>
  <si>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</si>
  <si>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</si>
  <si>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</si>
  <si>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</si>
  <si>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</si>
  <si>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</si>
  <si>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</si>
  <si>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</si>
  <si>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</si>
  <si>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</si>
  <si>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</si>
  <si>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</si>
  <si>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</si>
  <si>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</si>
  <si>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</si>
  <si>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</si>
  <si>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</si>
  <si>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</si>
  <si>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</si>
  <si>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</si>
  <si>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</si>
  <si>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</si>
  <si>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</si>
  <si>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</si>
  <si>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</si>
  <si>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</si>
  <si>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</si>
  <si>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</si>
  <si>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</si>
  <si>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</si>
  <si>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</si>
  <si>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</si>
  <si>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</si>
  <si>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</si>
  <si>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</si>
  <si>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</si>
  <si>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</si>
  <si>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</si>
  <si>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</si>
  <si>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</si>
  <si>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</si>
  <si>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</si>
  <si>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</si>
  <si>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</si>
  <si>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</si>
  <si>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</si>
  <si>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</si>
  <si>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</si>
  <si>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</si>
  <si>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</si>
  <si>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</si>
  <si>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</si>
  <si>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</si>
  <si>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</si>
  <si>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</si>
  <si>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</si>
  <si>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</si>
  <si>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</si>
  <si>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</si>
  <si>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</si>
  <si>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</si>
  <si>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</si>
  <si>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</si>
  <si>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</si>
  <si>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</si>
  <si>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</si>
  <si>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</si>
  <si>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</si>
  <si>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</si>
  <si>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</si>
  <si>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</si>
  <si>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</si>
  <si>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</si>
  <si>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</si>
  <si>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</si>
  <si>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</si>
  <si>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</si>
  <si>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</si>
  <si>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</si>
  <si>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</si>
  <si>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</si>
  <si>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</si>
  <si>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</si>
  <si>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</si>
  <si>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</si>
  <si>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</si>
  <si>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</si>
  <si>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</si>
  <si>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</si>
  <si>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</si>
  <si>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</si>
  <si>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</si>
  <si>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</si>
  <si>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</si>
  <si>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</si>
  <si>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</si>
  <si>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</si>
  <si>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</si>
  <si>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</si>
  <si>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</si>
  <si>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</si>
  <si>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</si>
  <si>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</si>
  <si>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</si>
  <si>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</si>
  <si>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</si>
  <si>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</si>
  <si>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</si>
  <si>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</si>
  <si>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</si>
  <si>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</si>
  <si>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</si>
  <si>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</si>
  <si>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</si>
  <si>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</si>
  <si>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</si>
  <si>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</si>
  <si>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</si>
  <si>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</si>
  <si>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</si>
  <si>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</si>
  <si>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</si>
  <si>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</si>
  <si>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</si>
  <si>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</si>
  <si>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</si>
  <si>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</si>
  <si>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</si>
  <si>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</si>
  <si>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</si>
  <si>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</si>
  <si>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</si>
  <si>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</si>
  <si>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</si>
  <si>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</si>
  <si>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</si>
  <si>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</si>
  <si>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</si>
  <si>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</si>
  <si>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</si>
  <si>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</si>
  <si>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</si>
  <si>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</si>
  <si>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</si>
  <si>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</si>
  <si>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</si>
  <si>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</si>
  <si>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</si>
  <si>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</si>
  <si>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</si>
  <si>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</si>
  <si>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</si>
  <si>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</si>
  <si>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</si>
  <si>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</si>
  <si>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</si>
  <si>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</si>
  <si>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</si>
  <si>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</si>
  <si>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</si>
  <si>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</si>
  <si>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</si>
  <si>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</si>
  <si>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</si>
  <si>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</si>
  <si>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</si>
  <si>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</si>
  <si>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</si>
  <si>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</si>
  <si>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</si>
  <si>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</si>
  <si>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</si>
  <si>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</si>
  <si>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</si>
  <si>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</si>
  <si>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</si>
  <si>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</si>
  <si>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</si>
  <si>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</si>
  <si>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</si>
  <si>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</si>
  <si>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</si>
  <si>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</si>
  <si>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</si>
  <si>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</si>
  <si>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</si>
  <si>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</si>
  <si>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</si>
  <si>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</si>
  <si>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</si>
  <si>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</si>
  <si>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</si>
  <si>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</si>
  <si>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</si>
  <si>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</si>
  <si>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</si>
  <si>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</si>
  <si>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</si>
  <si>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</si>
  <si>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</si>
  <si>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</si>
  <si>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</si>
  <si>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</si>
  <si>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</si>
  <si>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</si>
  <si>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</si>
  <si>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</si>
  <si>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</si>
  <si>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</si>
  <si>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</si>
  <si>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</si>
  <si>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</si>
  <si>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</si>
  <si>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</si>
  <si>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</si>
  <si>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</si>
  <si>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</si>
  <si>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</si>
  <si>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</si>
  <si>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</si>
  <si>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</si>
  <si>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</si>
  <si>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</si>
  <si>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</si>
  <si>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</si>
  <si>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</si>
  <si>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</si>
  <si>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</si>
  <si>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</si>
  <si>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</si>
  <si>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</si>
  <si>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</si>
  <si>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</si>
  <si>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</si>
  <si>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</si>
  <si>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</si>
  <si>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</si>
  <si>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</si>
  <si>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</si>
  <si>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</si>
  <si>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</si>
  <si>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</si>
  <si>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</si>
  <si>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</si>
  <si>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</si>
  <si>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</si>
  <si>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</si>
  <si>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</si>
  <si>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</si>
  <si>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</si>
  <si>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</si>
  <si>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</si>
  <si>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</si>
  <si>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</si>
  <si>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</si>
  <si>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</si>
  <si>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</si>
  <si>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</si>
  <si>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</si>
  <si>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</si>
  <si>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</si>
  <si>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</si>
  <si>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</si>
  <si>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</si>
  <si>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</si>
  <si>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</si>
  <si>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</si>
  <si>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</si>
  <si>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</si>
  <si>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</si>
  <si>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</si>
  <si>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</si>
  <si>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</si>
  <si>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</si>
  <si>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</si>
  <si>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</si>
  <si>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</si>
  <si>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</si>
  <si>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</si>
  <si>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</si>
  <si>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</si>
  <si>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</si>
  <si>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</si>
  <si>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</si>
  <si>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</si>
  <si>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</si>
  <si>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</si>
  <si>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</si>
  <si>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</si>
  <si>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</si>
  <si>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</si>
  <si>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</si>
  <si>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</si>
  <si>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</si>
  <si>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</si>
  <si>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</si>
  <si>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</si>
  <si>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</si>
  <si>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</si>
  <si>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</si>
  <si>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</si>
  <si>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</si>
  <si>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</si>
  <si>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</si>
  <si>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</si>
  <si>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</si>
  <si>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</si>
  <si>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</si>
  <si>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</si>
  <si>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</si>
  <si>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</si>
  <si>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</si>
  <si>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</si>
  <si>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</si>
  <si>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</si>
  <si>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</si>
  <si>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</si>
  <si>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</si>
  <si>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</si>
  <si>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</si>
  <si>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</si>
  <si>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</si>
  <si>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</si>
  <si>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</si>
  <si>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</si>
  <si>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</si>
  <si>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</si>
  <si>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</si>
  <si>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</si>
  <si>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</si>
  <si>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</si>
  <si>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</si>
  <si>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</si>
  <si>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</si>
  <si>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</si>
  <si>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</si>
  <si>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</si>
  <si>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</si>
  <si>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</si>
  <si>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</si>
  <si>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</si>
  <si>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</si>
  <si>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</si>
  <si>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</si>
  <si>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</si>
  <si>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</si>
  <si>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</si>
  <si>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</si>
  <si>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</si>
  <si>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</si>
  <si>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</si>
  <si>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</si>
  <si>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</si>
  <si>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</si>
  <si>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</si>
  <si>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</si>
  <si>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</si>
  <si>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</si>
  <si>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</si>
  <si>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</si>
  <si>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</si>
  <si>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</si>
  <si>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</si>
  <si>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</si>
  <si>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</si>
  <si>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</si>
  <si>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</si>
  <si>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</si>
  <si>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</si>
  <si>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</si>
  <si>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</si>
  <si>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</si>
  <si>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</si>
  <si>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</si>
  <si>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</si>
  <si>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</si>
  <si>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</si>
  <si>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</si>
  <si>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</si>
  <si>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</si>
  <si>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</si>
  <si>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</si>
  <si>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</si>
  <si>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</si>
  <si>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</si>
  <si>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</si>
  <si>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</si>
  <si>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</si>
  <si>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</si>
  <si>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</si>
  <si>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</si>
  <si>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</si>
  <si>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</si>
  <si>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</si>
  <si>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</si>
  <si>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</si>
  <si>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</si>
  <si>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</si>
  <si>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</si>
  <si>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</si>
  <si>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</si>
  <si>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</si>
  <si>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</si>
  <si>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</si>
  <si>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</si>
  <si>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</si>
  <si>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</si>
  <si>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</si>
  <si>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</si>
  <si>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</si>
  <si>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</si>
  <si>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</si>
  <si>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</si>
  <si>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</si>
  <si>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</si>
  <si>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</si>
  <si>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</si>
  <si>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</si>
  <si>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</si>
  <si>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</si>
  <si>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</si>
  <si>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</si>
  <si>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</si>
  <si>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</si>
  <si>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</si>
  <si>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</si>
  <si>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</si>
  <si>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</si>
  <si>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</si>
  <si>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</si>
  <si>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</si>
  <si>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</si>
  <si>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</si>
  <si>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</si>
  <si>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</si>
  <si>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</si>
  <si>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</si>
  <si>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</si>
  <si>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</si>
  <si>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</si>
  <si>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</si>
  <si>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</si>
  <si>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</si>
  <si>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</si>
  <si>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</si>
  <si>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</si>
  <si>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</si>
  <si>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</si>
  <si>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</si>
  <si>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</si>
  <si>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</si>
  <si>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</si>
  <si>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</si>
  <si>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</si>
  <si>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</si>
  <si>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</si>
  <si>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</si>
  <si>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</si>
  <si>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</si>
  <si>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</si>
  <si>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</si>
  <si>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</si>
  <si>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</si>
  <si>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</si>
  <si>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</si>
  <si>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</si>
  <si>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</si>
  <si>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</si>
  <si>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</si>
  <si>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</si>
  <si>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</si>
  <si>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</si>
  <si>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</si>
  <si>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</si>
  <si>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</si>
  <si>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</si>
  <si>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</si>
  <si>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</si>
  <si>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</si>
  <si>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</si>
  <si>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</si>
  <si>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</si>
  <si>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</si>
  <si>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</si>
  <si>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</si>
  <si>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</si>
  <si>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</si>
  <si>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</si>
  <si>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</si>
  <si>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</si>
  <si>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</si>
  <si>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</si>
  <si>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</si>
  <si>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</si>
  <si>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</si>
  <si>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</si>
  <si>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</si>
  <si>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</si>
  <si>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</si>
  <si>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</si>
  <si>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</si>
  <si>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</si>
  <si>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</si>
  <si>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</si>
  <si>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</si>
  <si>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</si>
  <si>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</si>
  <si>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</si>
  <si>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</si>
  <si>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</si>
  <si>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</si>
  <si>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</si>
  <si>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</si>
  <si>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</si>
  <si>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</si>
  <si>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</si>
  <si>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</si>
  <si>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</si>
  <si>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</si>
  <si>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</si>
  <si>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</si>
  <si>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</si>
  <si>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</si>
  <si>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</si>
  <si>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</si>
  <si>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</si>
  <si>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</si>
  <si>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</si>
  <si>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</si>
  <si>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</si>
  <si>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</si>
  <si>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</si>
  <si>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</si>
  <si>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</si>
  <si>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</si>
  <si>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</si>
  <si>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</si>
  <si>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</si>
  <si>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</si>
  <si>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</si>
  <si>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</si>
  <si>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</si>
  <si>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</si>
  <si>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</si>
  <si>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</si>
  <si>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</si>
  <si>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</si>
  <si>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</si>
  <si>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</si>
  <si>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</si>
  <si>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</si>
  <si>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</si>
  <si>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</si>
  <si>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</si>
  <si>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</si>
  <si>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</si>
  <si>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</si>
  <si>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</si>
  <si>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</si>
  <si>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</si>
  <si>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</si>
  <si>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</si>
  <si>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</si>
  <si>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</si>
  <si>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</si>
  <si>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</si>
  <si>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</si>
  <si>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</si>
  <si>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</si>
  <si>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</si>
  <si>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</si>
  <si>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</si>
  <si>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</si>
  <si>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</si>
  <si>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</si>
  <si>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</si>
  <si>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</si>
  <si>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</si>
  <si>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</si>
  <si>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</si>
  <si>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</si>
  <si>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</si>
  <si>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</si>
  <si>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</si>
  <si>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</si>
  <si>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</si>
  <si>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</si>
  <si>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</si>
  <si>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</si>
  <si>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</si>
  <si>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</si>
  <si>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</si>
  <si>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</si>
  <si>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</si>
  <si>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</si>
  <si>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</si>
  <si>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</si>
  <si>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</si>
  <si>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</si>
  <si>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</si>
  <si>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</si>
  <si>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</si>
  <si>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</si>
  <si>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</si>
  <si>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</si>
  <si>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</si>
  <si>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</si>
  <si>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</si>
  <si>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</si>
  <si>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</si>
  <si>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</si>
  <si>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</si>
  <si>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</si>
  <si>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</si>
  <si>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</si>
  <si>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</si>
  <si>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</si>
  <si>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</si>
  <si>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</si>
  <si>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</si>
  <si>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</si>
  <si>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</si>
  <si>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</si>
  <si>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</si>
  <si>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</si>
  <si>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</si>
  <si>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</si>
  <si>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</si>
  <si>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</si>
  <si>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</si>
  <si>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</si>
  <si>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</si>
  <si>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</si>
  <si>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</si>
  <si>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</si>
  <si>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</si>
  <si>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</si>
  <si>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</si>
  <si>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</si>
  <si>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</si>
  <si>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</si>
  <si>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</si>
  <si>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</si>
  <si>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</si>
  <si>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</si>
  <si>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</si>
  <si>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</si>
  <si>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</si>
  <si>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</si>
  <si>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</si>
  <si>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</si>
  <si>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</si>
  <si>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</si>
  <si>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</si>
  <si>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</si>
  <si>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</si>
  <si>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</si>
  <si>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</si>
  <si>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</si>
  <si>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</si>
  <si>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</si>
  <si>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</si>
  <si>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</si>
  <si>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</si>
  <si>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</si>
  <si>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</si>
  <si>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</si>
  <si>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</si>
  <si>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</si>
  <si>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</si>
  <si>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</si>
  <si>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</si>
  <si>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</si>
  <si>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</si>
  <si>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</si>
  <si>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</si>
  <si>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</si>
  <si>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</si>
  <si>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</si>
  <si>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</si>
  <si>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</si>
  <si>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</si>
  <si>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</si>
  <si>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</si>
  <si>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</si>
  <si>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</si>
  <si>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</si>
  <si>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</si>
  <si>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</si>
  <si>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</si>
  <si>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</si>
  <si>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</si>
  <si>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</si>
  <si>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</si>
  <si>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</si>
  <si>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</si>
  <si>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</si>
  <si>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</si>
  <si>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</si>
  <si>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</si>
  <si>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</si>
  <si>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</si>
  <si>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</si>
  <si>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</si>
  <si>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</si>
  <si>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</si>
  <si>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</si>
  <si>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</si>
  <si>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</si>
  <si>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</si>
  <si>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</si>
  <si>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</si>
  <si>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</si>
  <si>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</si>
  <si>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</si>
  <si>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</si>
  <si>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</si>
  <si>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</si>
  <si>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</si>
  <si>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</si>
  <si>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</si>
  <si>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</si>
  <si>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</si>
  <si>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</si>
  <si>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</si>
  <si>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</si>
  <si>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</si>
  <si>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</si>
  <si>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</si>
  <si>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</si>
  <si>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</si>
  <si>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</si>
  <si>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</si>
  <si>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</si>
  <si>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</si>
  <si>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</si>
  <si>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</si>
  <si>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</si>
  <si>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</si>
  <si>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</si>
  <si>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</si>
  <si>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</si>
  <si>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</si>
  <si>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</si>
  <si>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</si>
  <si>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</si>
  <si>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</si>
  <si>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</si>
  <si>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</si>
  <si>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</si>
  <si>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</si>
  <si>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</si>
  <si>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</si>
  <si>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</si>
  <si>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</si>
  <si>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</si>
  <si>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</si>
  <si>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</si>
  <si>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</si>
  <si>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</si>
  <si>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</si>
  <si>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</si>
  <si>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</si>
  <si>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</si>
  <si>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</si>
  <si>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</si>
  <si>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</si>
  <si>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</si>
  <si>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</si>
  <si>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</si>
  <si>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</si>
  <si>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</si>
  <si>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</si>
  <si>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</si>
  <si>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</si>
  <si>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</si>
  <si>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</si>
  <si>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</si>
  <si>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</si>
  <si>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</si>
  <si>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</si>
  <si>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</si>
  <si>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</si>
  <si>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</si>
  <si>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</si>
  <si>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</si>
  <si>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</si>
  <si>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</si>
  <si>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</si>
  <si>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</si>
  <si>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</si>
  <si>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</si>
  <si>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</si>
  <si>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</si>
  <si>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</si>
  <si>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</si>
  <si>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</si>
  <si>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</si>
  <si>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</si>
  <si>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</si>
  <si>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</si>
  <si>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</si>
  <si>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</si>
  <si>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</si>
  <si>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</si>
  <si>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</si>
  <si>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</si>
  <si>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</si>
  <si>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</si>
  <si>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</si>
  <si>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</si>
  <si>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</si>
  <si>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</si>
  <si>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</si>
  <si>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</si>
  <si>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</si>
  <si>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</si>
  <si>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</si>
  <si>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</si>
  <si>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</si>
  <si>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</si>
  <si>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</si>
  <si>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</si>
  <si>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</si>
  <si>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</si>
  <si>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</si>
  <si>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</si>
  <si>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</si>
  <si>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</si>
  <si>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</si>
  <si>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</si>
  <si>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</si>
  <si>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</si>
  <si>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</si>
  <si>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</si>
  <si>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</si>
  <si>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</si>
  <si>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</si>
  <si>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</si>
  <si>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</si>
  <si>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</si>
  <si>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</si>
  <si>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</si>
  <si>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</si>
  <si>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</si>
  <si>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</si>
  <si>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</si>
  <si>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</si>
  <si>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</si>
  <si>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</si>
  <si>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</si>
  <si>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</si>
  <si>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</si>
  <si>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</si>
  <si>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</si>
  <si>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</si>
  <si>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</si>
  <si>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</si>
  <si>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</si>
  <si>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</si>
  <si>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</si>
  <si>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</si>
  <si>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</si>
  <si>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</si>
  <si>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</si>
  <si>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</si>
  <si>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</si>
  <si>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</si>
  <si>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</si>
  <si>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</si>
  <si>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</si>
  <si>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</si>
  <si>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</si>
  <si>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</si>
  <si>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</si>
  <si>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</si>
  <si>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</si>
  <si>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</si>
  <si>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</si>
  <si>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</si>
  <si>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</si>
  <si>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</si>
  <si>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</si>
  <si>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</si>
  <si>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</si>
  <si>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</si>
  <si>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</si>
  <si>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</si>
  <si>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</si>
  <si>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</si>
  <si>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</si>
  <si>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</si>
  <si>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</si>
  <si>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</si>
  <si>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</si>
  <si>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</si>
  <si>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</si>
  <si>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</si>
  <si>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</si>
  <si>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</si>
  <si>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</si>
  <si>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</si>
  <si>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</si>
  <si>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</si>
  <si>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</si>
  <si>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</si>
  <si>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</si>
  <si>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</si>
  <si>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</si>
  <si>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</si>
  <si>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</si>
  <si>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</si>
  <si>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</si>
  <si>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</si>
  <si>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</si>
  <si>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</si>
  <si>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</si>
  <si>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</si>
  <si>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</si>
  <si>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</si>
  <si>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</si>
  <si>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</si>
  <si>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</si>
  <si>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</si>
  <si>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</si>
  <si>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</si>
  <si>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</si>
  <si>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</si>
  <si>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</si>
  <si>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</si>
  <si>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</si>
  <si>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</si>
  <si>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</si>
  <si>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</si>
  <si>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</si>
  <si>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</si>
  <si>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</si>
  <si>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</si>
  <si>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</si>
  <si>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</si>
  <si>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</si>
  <si>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</si>
  <si>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</si>
  <si>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</si>
  <si>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</si>
  <si>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</si>
  <si>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</si>
  <si>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</si>
  <si>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</si>
  <si>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</si>
  <si>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</si>
  <si>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</si>
  <si>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</si>
  <si>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</si>
  <si>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</si>
  <si>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</si>
  <si>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</si>
  <si>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</si>
  <si>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</si>
  <si>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</si>
  <si>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</si>
  <si>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</si>
  <si>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</si>
  <si>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</si>
  <si>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</si>
  <si>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</si>
  <si>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</si>
  <si>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</si>
  <si>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</si>
  <si>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</si>
  <si>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</si>
  <si>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</si>
  <si>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</si>
  <si>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</si>
  <si>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</si>
  <si>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</si>
  <si>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</si>
  <si>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</si>
  <si>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</si>
  <si>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</si>
  <si>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</si>
  <si>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</si>
  <si>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</si>
  <si>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</si>
  <si>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</si>
  <si>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</si>
  <si>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</si>
  <si>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</si>
  <si>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</si>
  <si>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</si>
  <si>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</si>
  <si>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</si>
  <si>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</si>
  <si>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</si>
  <si>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</si>
  <si>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</si>
  <si>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</si>
  <si>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</si>
  <si>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</si>
  <si>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</si>
  <si>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</si>
  <si>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</si>
  <si>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</si>
  <si>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</si>
  <si>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</si>
  <si>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</si>
  <si>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</si>
  <si>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</si>
  <si>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</si>
  <si>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</si>
  <si>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</si>
  <si>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</si>
  <si>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</si>
  <si>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</si>
  <si>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</si>
  <si>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</si>
  <si>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</si>
  <si>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</si>
  <si>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</si>
  <si>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</si>
  <si>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</si>
  <si>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</si>
  <si>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</si>
  <si>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</si>
  <si>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</si>
  <si>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</si>
  <si>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</si>
  <si>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</si>
  <si>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</si>
  <si>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</si>
  <si>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</si>
  <si>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</si>
  <si>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</si>
  <si>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</si>
  <si>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</si>
  <si>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</si>
  <si>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</si>
  <si>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</si>
  <si>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</si>
  <si>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</si>
  <si>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</si>
  <si>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</si>
  <si>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</si>
  <si>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</si>
  <si>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</si>
  <si>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</si>
  <si>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</si>
  <si>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</si>
  <si>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</si>
  <si>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</si>
  <si>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</si>
  <si>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</si>
  <si>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</si>
  <si>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</si>
  <si>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</si>
  <si>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</si>
  <si>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</si>
  <si>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</si>
  <si>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</si>
  <si>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</si>
  <si>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</si>
  <si>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</si>
  <si>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</si>
  <si>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</si>
  <si>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</si>
  <si>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</si>
  <si>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</si>
  <si>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</si>
  <si>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</si>
  <si>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</si>
  <si>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</si>
  <si>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</si>
  <si>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</si>
  <si>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</si>
  <si>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</si>
  <si>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</si>
  <si>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</si>
  <si>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</si>
  <si>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</si>
  <si>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</si>
  <si>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</si>
  <si>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</si>
  <si>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</si>
  <si>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</si>
  <si>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</si>
  <si>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</si>
  <si>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</si>
  <si>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</si>
  <si>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</si>
  <si>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</si>
  <si>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</si>
  <si>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</si>
  <si>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</si>
  <si>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</si>
  <si>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</si>
  <si>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</si>
  <si>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</si>
  <si>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</si>
  <si>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</si>
  <si>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</si>
  <si>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</si>
  <si>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</si>
  <si>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</si>
  <si>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</si>
  <si>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</si>
  <si>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</si>
  <si>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</si>
  <si>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</si>
  <si>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</si>
  <si>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</si>
  <si>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</si>
  <si>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</si>
  <si>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</si>
  <si>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</si>
  <si>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</si>
  <si>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</si>
  <si>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</si>
  <si>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</si>
  <si>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</si>
  <si>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</si>
  <si>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</si>
  <si>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</si>
  <si>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</si>
  <si>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</si>
  <si>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</si>
  <si>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</si>
  <si>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</si>
  <si>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</si>
  <si>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</si>
  <si>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</si>
  <si>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</si>
  <si>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</si>
  <si>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</si>
  <si>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</si>
  <si>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</si>
  <si>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</si>
  <si>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</si>
  <si>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</si>
  <si>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</si>
  <si>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</si>
  <si>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</si>
  <si>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</si>
  <si>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</si>
  <si>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</si>
  <si>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</si>
  <si>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</si>
  <si>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</si>
  <si>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</si>
  <si>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</si>
  <si>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</si>
  <si>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</si>
  <si>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</si>
  <si>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</si>
  <si>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</si>
  <si>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</si>
  <si>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</si>
  <si>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</si>
  <si>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</si>
  <si>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</si>
  <si>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</si>
  <si>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</si>
  <si>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</si>
  <si>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</si>
  <si>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</si>
  <si>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</si>
  <si>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</si>
  <si>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</si>
  <si>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</si>
  <si>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</si>
  <si>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</si>
  <si>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</si>
  <si>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</si>
  <si>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</si>
  <si>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</si>
  <si>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</si>
  <si>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</si>
  <si>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</si>
  <si>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</si>
  <si>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</si>
  <si>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</si>
  <si>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</si>
  <si>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</si>
  <si>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</si>
  <si>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</si>
  <si>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</si>
  <si>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</si>
  <si>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</si>
  <si>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</si>
  <si>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</si>
  <si>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</si>
  <si>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</si>
  <si>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</si>
  <si>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</si>
  <si>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</si>
  <si>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</si>
  <si>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</si>
  <si>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</si>
  <si>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</si>
  <si>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</si>
  <si>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</si>
  <si>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</si>
  <si>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</si>
  <si>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</si>
  <si>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</si>
  <si>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</si>
  <si>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</si>
  <si>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</si>
  <si>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</si>
  <si>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</si>
  <si>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</si>
  <si>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</si>
  <si>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</si>
  <si>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</si>
  <si>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</si>
  <si>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</si>
  <si>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</si>
  <si>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</si>
  <si>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</si>
  <si>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</si>
  <si>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</si>
  <si>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</si>
  <si>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</si>
  <si>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</si>
  <si>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</si>
  <si>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</si>
  <si>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</si>
  <si>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</si>
  <si>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</si>
  <si>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</si>
  <si>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</si>
  <si>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</si>
  <si>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</si>
  <si>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</si>
  <si>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</si>
  <si>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</si>
  <si>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</si>
  <si>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</si>
  <si>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</si>
  <si>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</si>
  <si>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</si>
  <si>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</si>
  <si>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</si>
  <si>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</si>
  <si>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</si>
  <si>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</si>
  <si>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</si>
  <si>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</si>
  <si>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</si>
  <si>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</si>
  <si>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</si>
  <si>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</si>
  <si>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</si>
  <si>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</si>
  <si>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</si>
  <si>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</si>
  <si>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</si>
  <si>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</si>
  <si>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</si>
  <si>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</si>
  <si>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</si>
  <si>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</si>
  <si>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</si>
  <si>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</si>
  <si>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</si>
  <si>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</si>
  <si>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</si>
  <si>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</si>
  <si>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</si>
  <si>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</si>
  <si>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</si>
  <si>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</si>
  <si>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</si>
  <si>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</si>
  <si>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</si>
  <si>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</si>
  <si>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</si>
  <si>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</si>
  <si>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</si>
  <si>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</si>
  <si>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</si>
  <si>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</si>
  <si>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</si>
  <si>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</si>
  <si>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</si>
  <si>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</si>
  <si>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</si>
  <si>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</si>
  <si>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</si>
  <si>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</si>
  <si>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</si>
  <si>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</si>
  <si>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</si>
  <si>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</si>
  <si>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</si>
  <si>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</si>
  <si>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</si>
  <si>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</si>
  <si>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</si>
  <si>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</si>
  <si>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</si>
  <si>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</si>
  <si>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</si>
  <si>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</si>
  <si>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</si>
  <si>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</si>
  <si>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</si>
  <si>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</si>
  <si>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</si>
  <si>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</si>
  <si>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</si>
  <si>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</si>
  <si>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</si>
  <si>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</si>
  <si>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</si>
  <si>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</si>
  <si>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</si>
  <si>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</si>
  <si>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</si>
  <si>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</si>
  <si>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</si>
  <si>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</si>
  <si>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</si>
  <si>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</si>
  <si>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</si>
  <si>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</si>
  <si>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</si>
  <si>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</si>
  <si>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</si>
  <si>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</si>
  <si>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</si>
  <si>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</si>
  <si>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</si>
  <si>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</si>
  <si>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</si>
  <si>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</si>
  <si>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</si>
  <si>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</si>
  <si>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</si>
  <si>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</si>
  <si>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</si>
  <si>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</si>
  <si>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</si>
  <si>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</si>
  <si>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</si>
  <si>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</si>
  <si>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</si>
  <si>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</si>
  <si>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</si>
  <si>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</si>
  <si>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</si>
  <si>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</si>
  <si>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</si>
  <si>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</si>
  <si>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</si>
  <si>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</si>
  <si>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</si>
  <si>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</si>
  <si>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</si>
  <si>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</si>
  <si>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</si>
  <si>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</si>
  <si>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</si>
  <si>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</si>
  <si>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</si>
  <si>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</si>
  <si>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</si>
  <si>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</si>
  <si>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</si>
  <si>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</si>
  <si>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</si>
  <si>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</si>
  <si>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</si>
  <si>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</si>
  <si>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</si>
  <si>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</si>
  <si>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</si>
  <si>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</si>
  <si>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</si>
  <si>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</si>
  <si>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</si>
  <si>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</si>
  <si>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</si>
  <si>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</si>
  <si>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</si>
  <si>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</si>
  <si>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</si>
  <si>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</si>
  <si>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</si>
  <si>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</si>
  <si>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</si>
  <si>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</si>
  <si>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</si>
  <si>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</si>
  <si>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</si>
  <si>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</si>
  <si>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</si>
  <si>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</si>
  <si>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</si>
  <si>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</si>
  <si>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</si>
  <si>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</si>
  <si>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</si>
  <si>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</si>
  <si>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</si>
  <si>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</si>
  <si>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</si>
  <si>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</si>
  <si>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</si>
  <si>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</si>
  <si>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</si>
  <si>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</si>
  <si>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</si>
  <si>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</si>
  <si>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</si>
  <si>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</si>
  <si>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</si>
  <si>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</si>
  <si>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</si>
  <si>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</si>
  <si>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</si>
  <si>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</si>
  <si>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</si>
  <si>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</si>
  <si>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</si>
  <si>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</si>
  <si>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</si>
  <si>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</si>
  <si>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</si>
  <si>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</si>
  <si>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</si>
  <si>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</si>
  <si>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</si>
  <si>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</si>
  <si>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</si>
  <si>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</si>
  <si>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</si>
  <si>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</si>
  <si>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</si>
  <si>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</si>
  <si>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</si>
  <si>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</si>
  <si>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</si>
  <si>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</si>
  <si>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</si>
  <si>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</si>
  <si>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</si>
  <si>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</si>
  <si>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</si>
  <si>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</si>
  <si>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</si>
  <si>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</si>
  <si>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</si>
  <si>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</si>
  <si>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</si>
  <si>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</si>
  <si>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</si>
  <si>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</si>
  <si>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</si>
  <si>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</si>
  <si>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</si>
  <si>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</si>
  <si>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</si>
  <si>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</si>
  <si>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</si>
  <si>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</si>
  <si>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</si>
  <si>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</si>
  <si>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</si>
  <si>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</si>
  <si>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</si>
  <si>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</si>
  <si>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</si>
  <si>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</si>
  <si>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</si>
  <si>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</si>
  <si>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</si>
  <si>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</si>
  <si>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</si>
  <si>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</si>
  <si>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</si>
  <si>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</si>
  <si>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</si>
  <si>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</si>
  <si>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</si>
  <si>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</si>
  <si>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</si>
  <si>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</si>
  <si>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</si>
  <si>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</si>
  <si>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</si>
  <si>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</si>
  <si>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</si>
  <si>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</si>
  <si>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</si>
  <si>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</si>
  <si>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</si>
  <si>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</si>
  <si>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</si>
  <si>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</si>
  <si>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</si>
  <si>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</si>
  <si>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</si>
  <si>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</si>
  <si>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</si>
  <si>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</si>
  <si>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</si>
  <si>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</si>
  <si>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</si>
  <si>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</si>
  <si>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</si>
  <si>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</si>
  <si>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</si>
  <si>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</si>
  <si>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</si>
  <si>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</si>
  <si>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</si>
  <si>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</si>
  <si>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</si>
  <si>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</si>
  <si>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</si>
  <si>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</si>
  <si>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</si>
  <si>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</si>
  <si>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</si>
  <si>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</si>
  <si>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</si>
  <si>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</si>
  <si>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</si>
  <si>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</si>
  <si>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</si>
  <si>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</si>
  <si>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</si>
  <si>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</si>
  <si>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</si>
  <si>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</si>
  <si>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</si>
  <si>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</si>
  <si>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</si>
  <si>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</si>
  <si>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</si>
  <si>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</si>
  <si>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</si>
  <si>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</si>
  <si>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</si>
  <si>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</si>
  <si>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</si>
  <si>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</si>
  <si>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</si>
  <si>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</si>
  <si>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</si>
  <si>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</si>
  <si>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</si>
  <si>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</si>
  <si>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</si>
  <si>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</si>
  <si>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</si>
  <si>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</si>
  <si>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</si>
  <si>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</si>
  <si>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</si>
  <si>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</si>
  <si>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</si>
  <si>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</si>
  <si>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</si>
  <si>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</si>
  <si>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</si>
  <si>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</si>
  <si>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</si>
  <si>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</si>
  <si>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</si>
  <si>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</si>
  <si>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</si>
  <si>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</si>
  <si>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</si>
  <si>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</si>
  <si>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</si>
  <si>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</si>
  <si>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</si>
  <si>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</si>
  <si>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</si>
  <si>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</si>
  <si>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</si>
  <si>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</si>
  <si>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</si>
  <si>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</si>
  <si>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</si>
  <si>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</si>
  <si>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</si>
  <si>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</si>
  <si>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</si>
  <si>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</si>
  <si>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</si>
  <si>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</si>
  <si>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</si>
  <si>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</si>
  <si>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</si>
  <si>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</si>
  <si>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</si>
  <si>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</si>
  <si>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</si>
  <si>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</si>
  <si>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</si>
  <si>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</si>
  <si>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</si>
  <si>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</si>
  <si>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</si>
  <si>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</si>
  <si>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</si>
  <si>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</si>
  <si>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</si>
  <si>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</si>
  <si>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</si>
  <si>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</si>
  <si>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</si>
  <si>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</si>
  <si>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</si>
  <si>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</si>
  <si>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</si>
  <si>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</si>
  <si>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</si>
  <si>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</si>
  <si>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</si>
  <si>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</si>
  <si>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</si>
  <si>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</si>
  <si>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</si>
  <si>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</si>
  <si>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</si>
  <si>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</si>
  <si>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</si>
  <si>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</si>
  <si>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</si>
  <si>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</si>
  <si>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</si>
  <si>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</si>
  <si>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</si>
  <si>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</si>
  <si>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</si>
  <si>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</si>
  <si>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</si>
  <si>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</si>
  <si>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</si>
  <si>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</si>
  <si>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</si>
  <si>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</si>
  <si>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</si>
  <si>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</si>
  <si>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</si>
  <si>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</si>
  <si>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</si>
  <si>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</si>
  <si>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</si>
  <si>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</si>
  <si>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</si>
  <si>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</si>
  <si>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</si>
  <si>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</si>
  <si>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</si>
  <si>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</si>
  <si>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</si>
  <si>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</si>
  <si>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</si>
  <si>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</si>
  <si>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</si>
  <si>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</si>
  <si>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</si>
  <si>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</si>
  <si>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</si>
  <si>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</si>
  <si>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</si>
  <si>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</si>
  <si>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</si>
  <si>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</si>
  <si>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</si>
  <si>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</si>
  <si>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</si>
  <si>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</si>
  <si>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</si>
  <si>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</si>
  <si>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</si>
  <si>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</si>
  <si>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</si>
  <si>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</si>
  <si>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</si>
  <si>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</si>
  <si>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</si>
  <si>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</si>
  <si>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</si>
  <si>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</si>
  <si>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</si>
  <si>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</si>
  <si>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</si>
  <si>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</si>
  <si>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</si>
  <si>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</si>
  <si>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</si>
  <si>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</si>
  <si>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</si>
  <si>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</si>
  <si>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</si>
  <si>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</si>
  <si>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</si>
  <si>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</si>
  <si>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</si>
  <si>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</si>
  <si>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</si>
  <si>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</si>
  <si>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</si>
  <si>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</si>
  <si>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</si>
  <si>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</si>
  <si>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</si>
  <si>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</si>
  <si>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</si>
  <si>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</si>
  <si>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</si>
  <si>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</si>
  <si>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</si>
  <si>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</si>
  <si>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</si>
  <si>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</si>
  <si>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</si>
  <si>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</si>
  <si>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</si>
  <si>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</si>
  <si>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</si>
  <si>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</si>
  <si>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</si>
  <si>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</si>
  <si>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</si>
  <si>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</si>
  <si>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</si>
  <si>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</si>
  <si>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</si>
  <si>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</si>
  <si>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</si>
  <si>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</si>
  <si>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</si>
  <si>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</si>
  <si>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</si>
  <si>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</si>
  <si>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</si>
  <si>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</si>
  <si>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</si>
  <si>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</si>
  <si>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</si>
  <si>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</si>
  <si>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</si>
  <si>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</si>
  <si>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</si>
  <si>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</si>
  <si>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</si>
  <si>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</si>
  <si>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</si>
  <si>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</si>
  <si>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</si>
  <si>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</si>
  <si>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</si>
  <si>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</si>
  <si>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</si>
  <si>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</si>
  <si>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</si>
  <si>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</si>
  <si>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</si>
  <si>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</si>
  <si>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</si>
  <si>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</si>
  <si>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</si>
  <si>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</si>
  <si>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</si>
  <si>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</si>
  <si>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</si>
  <si>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</si>
  <si>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</si>
  <si>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</si>
  <si>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</si>
  <si>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</si>
  <si>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</si>
  <si>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</si>
  <si>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</si>
  <si>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</si>
  <si>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</si>
  <si>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</si>
  <si>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</si>
  <si>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</si>
  <si>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</si>
  <si>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</si>
  <si>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</si>
  <si>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</si>
  <si>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</si>
  <si>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</si>
  <si>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</si>
  <si>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</si>
  <si>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</si>
  <si>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</si>
  <si>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</si>
  <si>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</si>
  <si>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</si>
  <si>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</si>
  <si>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</si>
  <si>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</si>
  <si>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</si>
  <si>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</si>
  <si>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</si>
  <si>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</si>
  <si>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</si>
  <si>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</si>
  <si>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</si>
  <si>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</si>
  <si>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</si>
  <si>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</si>
  <si>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</si>
  <si>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</si>
  <si>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</si>
  <si>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</si>
  <si>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</si>
  <si>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</si>
  <si>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</si>
  <si>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</si>
  <si>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</si>
  <si>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</si>
  <si>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</si>
  <si>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</si>
  <si>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</si>
  <si>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</si>
  <si>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</si>
  <si>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</si>
  <si>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</si>
  <si>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</si>
  <si>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</si>
  <si>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</si>
  <si>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</si>
  <si>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</si>
  <si>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</si>
  <si>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</si>
  <si>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</si>
  <si>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</si>
  <si>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</si>
  <si>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</si>
  <si>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</si>
  <si>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</si>
  <si>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</si>
  <si>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</si>
  <si>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</si>
  <si>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</si>
  <si>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</si>
  <si>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</si>
  <si>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</si>
  <si>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</si>
  <si>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</si>
  <si>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</si>
  <si>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</si>
  <si>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</si>
  <si>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</si>
  <si>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</si>
  <si>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</si>
  <si>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</si>
  <si>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</si>
  <si>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</si>
  <si>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</si>
  <si>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</si>
  <si>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</si>
  <si>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</si>
  <si>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</si>
  <si>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</si>
  <si>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</si>
  <si>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</si>
  <si>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</si>
  <si>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</si>
  <si>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</si>
  <si>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</si>
  <si>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</si>
  <si>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</si>
  <si>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</si>
  <si>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</si>
  <si>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</si>
  <si>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</si>
  <si>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</si>
  <si>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</si>
  <si>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</si>
  <si>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</si>
  <si>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</si>
  <si>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</si>
  <si>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</si>
  <si>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</si>
  <si>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</si>
  <si>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</si>
  <si>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</si>
  <si>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</si>
  <si>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</si>
  <si>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</si>
  <si>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</si>
  <si>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</si>
  <si>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</si>
  <si>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</si>
  <si>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</si>
  <si>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</si>
  <si>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</si>
  <si>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</si>
  <si>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</si>
  <si>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</si>
  <si>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</si>
  <si>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</si>
  <si>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</si>
  <si>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</si>
  <si>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</si>
  <si>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</si>
  <si>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</si>
  <si>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</si>
  <si>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</si>
  <si>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</si>
  <si>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</si>
  <si>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</si>
  <si>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</si>
  <si>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</si>
  <si>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</si>
  <si>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</si>
  <si>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</si>
  <si>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</si>
  <si>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</si>
  <si>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</si>
  <si>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</si>
  <si>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</si>
  <si>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</si>
  <si>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</si>
  <si>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</si>
  <si>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</si>
  <si>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</si>
  <si>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</si>
  <si>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</si>
  <si>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</si>
  <si>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</si>
  <si>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</si>
  <si>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</si>
  <si>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</si>
  <si>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</si>
  <si>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</si>
  <si>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</si>
  <si>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</si>
  <si>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</si>
  <si>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</si>
  <si>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</si>
  <si>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</si>
  <si>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</si>
  <si>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</si>
  <si>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</si>
  <si>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</si>
  <si>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</si>
  <si>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</si>
  <si>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</si>
  <si>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</si>
  <si>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</si>
  <si>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</si>
  <si>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</si>
  <si>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</si>
  <si>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</si>
  <si>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</si>
  <si>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</si>
  <si>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</si>
  <si>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</si>
  <si>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</si>
  <si>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</si>
  <si>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</si>
  <si>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</si>
  <si>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</si>
  <si>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</si>
  <si>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</si>
  <si>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</si>
  <si>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</si>
  <si>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</si>
  <si>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</si>
  <si>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</si>
  <si>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</si>
  <si>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</si>
  <si>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</si>
  <si>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</si>
  <si>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</si>
  <si>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</si>
  <si>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</si>
  <si>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</si>
  <si>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</si>
  <si>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</si>
  <si>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</si>
  <si>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</si>
  <si>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</si>
  <si>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</si>
  <si>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</si>
  <si>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</si>
  <si>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</si>
  <si>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</si>
  <si>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</si>
  <si>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</si>
  <si>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</si>
  <si>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</si>
  <si>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</si>
  <si>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</si>
  <si>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</si>
  <si>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</si>
  <si>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</si>
  <si>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</si>
  <si>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</si>
  <si>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</si>
  <si>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</si>
  <si>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</si>
  <si>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</si>
  <si>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</si>
  <si>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</si>
  <si>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</si>
  <si>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</si>
  <si>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</si>
  <si>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</si>
  <si>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</si>
  <si>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</si>
  <si>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</si>
  <si>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</si>
  <si>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</si>
  <si>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</si>
  <si>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</si>
  <si>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</si>
  <si>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</si>
  <si>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</si>
  <si>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</si>
  <si>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</si>
  <si>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</si>
  <si>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</si>
  <si>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</si>
  <si>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</si>
  <si>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</si>
  <si>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</si>
  <si>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</si>
  <si>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</si>
  <si>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</si>
  <si>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</si>
  <si>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</si>
  <si>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</si>
  <si>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</si>
  <si>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</si>
  <si>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</si>
  <si>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</si>
  <si>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</si>
  <si>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</si>
  <si>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</si>
  <si>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</si>
  <si>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</si>
  <si>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</si>
  <si>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</si>
  <si>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</si>
  <si>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</si>
  <si>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</si>
  <si>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</si>
  <si>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</si>
  <si>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</si>
  <si>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</si>
  <si>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</si>
  <si>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</si>
  <si>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</si>
  <si>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</si>
  <si>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</si>
  <si>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</si>
  <si>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</si>
  <si>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</si>
  <si>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</si>
  <si>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</si>
  <si>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</si>
  <si>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</si>
  <si>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</si>
  <si>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</si>
  <si>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</si>
  <si>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</si>
  <si>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</si>
  <si>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</si>
  <si>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</si>
  <si>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</si>
  <si>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</si>
  <si>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</si>
  <si>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</si>
  <si>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</si>
  <si>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</si>
  <si>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</si>
  <si>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</si>
  <si>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</si>
  <si>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</si>
  <si>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</si>
  <si>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</si>
  <si>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</si>
  <si>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</si>
  <si>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</si>
  <si>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</si>
  <si>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</si>
  <si>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</si>
  <si>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</si>
  <si>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</si>
  <si>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</si>
  <si>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</si>
  <si>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</si>
  <si>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</si>
  <si>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</si>
  <si>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</si>
  <si>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</si>
  <si>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</si>
  <si>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</si>
  <si>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</si>
  <si>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</si>
  <si>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</si>
  <si>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</si>
  <si>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</si>
  <si>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</si>
  <si>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</si>
  <si>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</si>
  <si>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</si>
  <si>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</si>
  <si>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</si>
  <si>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</si>
  <si>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</si>
  <si>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</si>
  <si>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</si>
  <si>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</si>
  <si>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</si>
  <si>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</si>
  <si>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</si>
  <si>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</si>
  <si>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</si>
  <si>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</si>
  <si>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</si>
  <si>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</si>
  <si>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</si>
  <si>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</si>
  <si>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</si>
  <si>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</si>
  <si>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</si>
  <si>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</si>
  <si>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</si>
  <si>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</si>
  <si>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</si>
  <si>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</si>
  <si>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</si>
  <si>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</si>
  <si>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</si>
  <si>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</si>
  <si>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</si>
  <si>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</si>
  <si>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</si>
  <si>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</si>
  <si>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</si>
  <si>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</si>
  <si>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</si>
  <si>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</si>
  <si>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</si>
  <si>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</si>
  <si>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</si>
  <si>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</si>
  <si>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</si>
  <si>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</si>
  <si>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</si>
  <si>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</si>
  <si>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</si>
  <si>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</si>
  <si>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</si>
  <si>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</si>
  <si>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</si>
  <si>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</si>
  <si>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</si>
  <si>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</si>
  <si>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</si>
  <si>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</si>
  <si>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</si>
  <si>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</si>
  <si>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</si>
  <si>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</si>
  <si>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</si>
  <si>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</si>
  <si>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</si>
  <si>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</si>
  <si>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</si>
  <si>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</si>
  <si>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</si>
  <si>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</si>
  <si>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</si>
  <si>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</si>
  <si>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</si>
  <si>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</si>
  <si>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</si>
  <si>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</si>
  <si>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</si>
  <si>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</si>
  <si>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</si>
  <si>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</si>
  <si>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</si>
  <si>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</si>
  <si>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</si>
  <si>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</si>
  <si>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</si>
  <si>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</si>
  <si>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</si>
  <si>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</si>
  <si>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</si>
  <si>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</si>
  <si>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</si>
  <si>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</si>
  <si>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</si>
  <si>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</si>
  <si>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</si>
  <si>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</si>
  <si>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</si>
  <si>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</si>
  <si>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</si>
  <si>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</si>
  <si>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</si>
  <si>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</si>
  <si>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</si>
  <si>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</si>
  <si>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</si>
  <si>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</si>
  <si>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</si>
  <si>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</si>
  <si>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</si>
  <si>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</si>
  <si>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</si>
  <si>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</si>
  <si>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</si>
  <si>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</si>
  <si>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</si>
  <si>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</si>
  <si>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</si>
  <si>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</si>
  <si>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</si>
  <si>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</si>
  <si>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</si>
  <si>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</si>
  <si>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</si>
  <si>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</si>
  <si>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</si>
  <si>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</si>
  <si>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</si>
  <si>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</si>
  <si>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</si>
  <si>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</si>
  <si>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</si>
  <si>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</si>
  <si>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</si>
  <si>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</si>
  <si>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</si>
  <si>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</si>
  <si>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</si>
  <si>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</si>
  <si>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</si>
  <si>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</si>
  <si>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</si>
  <si>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</si>
  <si>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</si>
  <si>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</si>
  <si>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</si>
  <si>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</si>
  <si>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</si>
  <si>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</si>
  <si>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</si>
  <si>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</si>
  <si>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</si>
  <si>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</si>
  <si>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</si>
  <si>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</si>
  <si>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</si>
  <si>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</si>
  <si>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</si>
  <si>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</si>
  <si>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</si>
  <si>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</si>
  <si>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</si>
  <si>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</si>
  <si>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</si>
  <si>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</si>
  <si>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</si>
  <si>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</si>
  <si>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</si>
  <si>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</si>
  <si>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</si>
  <si>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</si>
  <si>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</si>
  <si>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</si>
  <si>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</si>
  <si>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</si>
  <si>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</si>
  <si>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</si>
  <si>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</si>
  <si>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</si>
  <si>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</si>
  <si>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</si>
  <si>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</si>
  <si>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</si>
  <si>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</si>
  <si>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</si>
  <si>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</si>
  <si>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</si>
  <si>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</si>
  <si>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</si>
  <si>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</si>
  <si>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</si>
  <si>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</si>
  <si>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</si>
  <si>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</si>
  <si>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</si>
  <si>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</si>
  <si>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</si>
  <si>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</si>
  <si>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</si>
  <si>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</si>
  <si>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</si>
  <si>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</si>
  <si>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</si>
  <si>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</si>
  <si>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</si>
  <si>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</si>
  <si>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</si>
  <si>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</si>
  <si>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</si>
  <si>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</si>
  <si>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</si>
  <si>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</si>
  <si>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</si>
  <si>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</si>
  <si>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</si>
  <si>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</si>
  <si>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</si>
  <si>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</si>
  <si>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</si>
  <si>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</si>
  <si>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</si>
  <si>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</si>
  <si>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</si>
  <si>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</si>
  <si>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</si>
  <si>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</si>
  <si>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</si>
  <si>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</si>
  <si>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</si>
  <si>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</si>
  <si>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</si>
  <si>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</si>
  <si>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</si>
  <si>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</si>
  <si>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</si>
  <si>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</si>
  <si>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</si>
  <si>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</si>
  <si>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</si>
  <si>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</si>
  <si>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</si>
  <si>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</si>
  <si>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</si>
  <si>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</si>
  <si>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</si>
  <si>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</si>
  <si>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</si>
  <si>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</si>
  <si>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</si>
  <si>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</si>
  <si>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</si>
  <si>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</si>
  <si>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</si>
  <si>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</si>
  <si>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</si>
  <si>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</si>
  <si>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</si>
  <si>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</si>
  <si>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</si>
  <si>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</si>
  <si>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</si>
  <si>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</si>
  <si>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</si>
  <si>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</si>
  <si>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</si>
  <si>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</si>
  <si>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</si>
  <si>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</si>
  <si>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</si>
  <si>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</si>
  <si>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</si>
  <si>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</si>
  <si>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</si>
  <si>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</si>
  <si>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</si>
  <si>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</si>
  <si>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</si>
  <si>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</si>
  <si>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</si>
  <si>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</si>
  <si>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</si>
  <si>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</si>
  <si>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</si>
  <si>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</si>
  <si>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</si>
  <si>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</si>
  <si>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</si>
  <si>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</si>
  <si>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</si>
  <si>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</si>
  <si>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</si>
  <si>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</si>
  <si>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</si>
  <si>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</si>
  <si>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</si>
  <si>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</si>
  <si>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</si>
  <si>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</si>
  <si>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</si>
  <si>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</si>
  <si>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</si>
  <si>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</si>
  <si>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</si>
  <si>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</si>
  <si>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</si>
  <si>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</si>
  <si>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</si>
  <si>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</si>
  <si>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</si>
  <si>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</si>
  <si>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</si>
  <si>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</si>
  <si>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</si>
  <si>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</si>
  <si>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</si>
  <si>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</si>
  <si>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</si>
  <si>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</si>
  <si>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</si>
  <si>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</si>
  <si>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</si>
  <si>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</si>
  <si>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</si>
  <si>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</si>
  <si>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</si>
  <si>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</si>
  <si>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</si>
  <si>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</si>
  <si>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</si>
  <si>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</si>
  <si>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</si>
  <si>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</si>
  <si>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</si>
  <si>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</si>
  <si>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</si>
  <si>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</si>
  <si>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</si>
  <si>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</si>
  <si>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</si>
  <si>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</si>
  <si>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</si>
  <si>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</si>
  <si>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</si>
  <si>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</si>
  <si>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</si>
  <si>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</si>
  <si>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</si>
  <si>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</si>
  <si>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</si>
  <si>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</si>
  <si>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</si>
  <si>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</si>
  <si>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</si>
  <si>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</si>
  <si>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</si>
  <si>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</si>
  <si>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</si>
  <si>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</si>
  <si>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</si>
  <si>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</si>
  <si>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</si>
  <si>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</si>
  <si>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</si>
  <si>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</si>
  <si>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</si>
  <si>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</si>
  <si>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</si>
  <si>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</si>
  <si>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</si>
  <si>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</si>
  <si>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</si>
  <si>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</si>
  <si>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</si>
  <si>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</si>
  <si>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</si>
  <si>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</si>
  <si>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</si>
  <si>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</si>
  <si>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</si>
  <si>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</si>
  <si>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</si>
  <si>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</si>
  <si>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</si>
  <si>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</si>
  <si>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</si>
  <si>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</si>
  <si>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</si>
  <si>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</si>
  <si>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</si>
  <si>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</si>
  <si>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</si>
  <si>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</si>
  <si>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</si>
  <si>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</si>
  <si>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</si>
  <si>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</si>
  <si>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</si>
  <si>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</si>
  <si>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</si>
  <si>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</si>
  <si>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</si>
  <si>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</si>
  <si>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</si>
  <si>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</si>
  <si>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</si>
  <si>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</si>
  <si>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</si>
  <si>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</si>
  <si>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</si>
  <si>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</si>
  <si>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</si>
  <si>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</si>
  <si>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</si>
  <si>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</si>
  <si>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</si>
  <si>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</si>
  <si>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</si>
  <si>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</si>
  <si>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</si>
  <si>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</si>
  <si>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</si>
  <si>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</si>
  <si>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</si>
  <si>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</si>
  <si>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</si>
  <si>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</si>
  <si>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</si>
  <si>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</si>
  <si>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</si>
  <si>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</si>
  <si>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</si>
  <si>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</si>
  <si>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</si>
  <si>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</si>
  <si>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</si>
  <si>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</si>
  <si>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</si>
  <si>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</si>
  <si>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</si>
  <si>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</si>
  <si>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</si>
  <si>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</si>
  <si>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</si>
  <si>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</si>
  <si>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</si>
  <si>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</si>
  <si>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</si>
  <si>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</si>
  <si>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</si>
  <si>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</si>
  <si>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</si>
  <si>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</si>
  <si>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</si>
  <si>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</si>
  <si>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</si>
  <si>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</si>
  <si>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</si>
  <si>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</si>
  <si>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</si>
  <si>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</si>
  <si>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</si>
  <si>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</si>
  <si>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</si>
  <si>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</si>
  <si>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</si>
  <si>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</si>
  <si>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</si>
  <si>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</si>
  <si>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</si>
  <si>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</si>
  <si>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</si>
  <si>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</si>
  <si>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</si>
  <si>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</si>
  <si>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</si>
  <si>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</si>
  <si>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</si>
  <si>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</si>
  <si>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</si>
  <si>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</si>
  <si>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</si>
  <si>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</si>
  <si>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</si>
  <si>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</si>
  <si>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</si>
  <si>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</si>
  <si>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</si>
  <si>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</si>
  <si>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</si>
  <si>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</si>
  <si>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</si>
  <si>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</si>
  <si>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</si>
  <si>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</si>
  <si>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</si>
  <si>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</si>
  <si>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</si>
  <si>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</si>
  <si>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</si>
  <si>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</si>
  <si>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</si>
  <si>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</si>
  <si>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</si>
  <si>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</si>
  <si>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</si>
  <si>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</si>
  <si>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</si>
  <si>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</si>
  <si>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</si>
  <si>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</si>
  <si>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</si>
  <si>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</si>
  <si>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</si>
  <si>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</si>
  <si>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</si>
  <si>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</si>
  <si>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</si>
  <si>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</si>
  <si>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</si>
  <si>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</si>
  <si>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</si>
  <si>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</si>
  <si>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</si>
  <si>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</si>
  <si>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</si>
  <si>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</si>
  <si>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</si>
  <si>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</si>
  <si>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</si>
  <si>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</si>
  <si>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</si>
  <si>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</si>
  <si>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</si>
  <si>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</si>
  <si>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</si>
  <si>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</si>
  <si>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</si>
  <si>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</si>
  <si>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</si>
  <si>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</si>
  <si>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</si>
  <si>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</si>
  <si>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</si>
  <si>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</si>
  <si>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</si>
  <si>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</si>
  <si>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</si>
  <si>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</si>
  <si>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</si>
  <si>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</si>
  <si>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</si>
  <si>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</si>
  <si>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</si>
  <si>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</si>
  <si>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</si>
  <si>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</si>
  <si>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</si>
  <si>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</si>
  <si>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</si>
  <si>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</si>
  <si>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</si>
  <si>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</si>
  <si>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</si>
  <si>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</si>
  <si>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</si>
  <si>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</si>
  <si>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</si>
  <si>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</si>
  <si>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</si>
  <si>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</si>
  <si>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</si>
  <si>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</si>
  <si>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</si>
  <si>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</si>
  <si>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</si>
  <si>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</si>
  <si>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</si>
  <si>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</si>
  <si>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</si>
  <si>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</si>
  <si>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</si>
  <si>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</si>
  <si>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</si>
  <si>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</si>
  <si>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</si>
  <si>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</si>
  <si>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</si>
  <si>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</si>
  <si>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</si>
  <si>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</si>
  <si>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</si>
  <si>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</si>
  <si>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</si>
  <si>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</si>
  <si>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</si>
  <si>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</si>
  <si>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</si>
  <si>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</si>
  <si>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</si>
  <si>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</si>
  <si>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</si>
  <si>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</si>
  <si>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</si>
  <si>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</si>
  <si>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</si>
  <si>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</si>
  <si>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</si>
  <si>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</si>
  <si>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</si>
  <si>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</si>
  <si>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</si>
  <si>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</si>
  <si>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</si>
  <si>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</si>
  <si>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</si>
  <si>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</si>
  <si>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</si>
  <si>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</si>
  <si>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</si>
  <si>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</si>
  <si>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</si>
  <si>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</si>
  <si>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</si>
  <si>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</si>
  <si>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</si>
  <si>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</si>
  <si>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</si>
  <si>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</si>
  <si>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</si>
  <si>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</si>
  <si>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</si>
  <si>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</si>
  <si>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</si>
  <si>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</si>
  <si>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</si>
  <si>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</si>
  <si>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</si>
  <si>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</si>
  <si>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</si>
  <si>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</si>
  <si>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</si>
  <si>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</si>
  <si>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</si>
  <si>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</si>
  <si>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</si>
  <si>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</si>
  <si>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</si>
  <si>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</si>
  <si>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</si>
  <si>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</si>
  <si>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</si>
  <si>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</si>
  <si>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</si>
  <si>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</si>
  <si>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</si>
  <si>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</si>
  <si>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</si>
  <si>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</si>
  <si>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</si>
  <si>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</si>
  <si>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</si>
  <si>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</si>
  <si>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</si>
  <si>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</si>
  <si>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</si>
  <si>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</si>
  <si>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</si>
  <si>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</si>
  <si>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</si>
  <si>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</si>
  <si>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</si>
  <si>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</si>
  <si>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</si>
  <si>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</si>
  <si>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</si>
  <si>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</si>
  <si>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</si>
  <si>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</si>
  <si>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</si>
  <si>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</si>
  <si>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</si>
  <si>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</si>
  <si>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</si>
  <si>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</si>
  <si>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</si>
  <si>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</si>
  <si>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</si>
  <si>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</si>
  <si>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</si>
  <si>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</si>
  <si>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</si>
  <si>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</si>
  <si>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</si>
  <si>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</si>
  <si>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</si>
  <si>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</si>
  <si>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</si>
  <si>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</si>
  <si>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</si>
  <si>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</si>
  <si>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</si>
  <si>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</si>
  <si>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</si>
  <si>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</si>
  <si>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</si>
  <si>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</si>
  <si>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</si>
  <si>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</si>
  <si>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</si>
  <si>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</si>
  <si>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</si>
  <si>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</si>
  <si>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</si>
  <si>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</si>
  <si>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</si>
  <si>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</si>
  <si>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</si>
  <si>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</si>
  <si>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</si>
  <si>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</si>
  <si>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</si>
  <si>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</si>
  <si>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</si>
  <si>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</si>
  <si>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</si>
  <si>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</si>
  <si>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</si>
  <si>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</si>
  <si>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</si>
  <si>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</si>
  <si>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</si>
  <si>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</si>
  <si>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</si>
  <si>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</si>
  <si>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</si>
  <si>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</si>
  <si>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</si>
  <si>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</si>
  <si>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</si>
  <si>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</si>
  <si>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</si>
  <si>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</si>
  <si>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</si>
  <si>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</si>
  <si>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</si>
  <si>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</si>
  <si>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</si>
  <si>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</si>
  <si>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</si>
  <si>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</si>
  <si>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</si>
  <si>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</si>
  <si>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</si>
  <si>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</si>
  <si>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</si>
  <si>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</si>
  <si>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</si>
  <si>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</si>
  <si>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</si>
  <si>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</si>
  <si>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</si>
  <si>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</si>
  <si>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</si>
  <si>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</si>
  <si>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</si>
  <si>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</si>
  <si>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</si>
  <si>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</si>
  <si>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</si>
  <si>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</si>
  <si>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</si>
  <si>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</si>
  <si>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</si>
  <si>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</si>
  <si>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</si>
  <si>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</si>
  <si>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</si>
  <si>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</si>
  <si>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</si>
  <si>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</si>
  <si>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</si>
  <si>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</si>
  <si>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</si>
  <si>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</si>
  <si>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</si>
  <si>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</si>
  <si>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</si>
  <si>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</si>
  <si>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</si>
  <si>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</si>
  <si>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</si>
  <si>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</si>
  <si>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</si>
  <si>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</si>
  <si>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</si>
  <si>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</si>
  <si>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</si>
  <si>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</si>
  <si>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</si>
  <si>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</si>
  <si>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</si>
  <si>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</si>
  <si>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</si>
  <si>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</si>
  <si>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</si>
  <si>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</si>
  <si>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</si>
  <si>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</si>
  <si>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</si>
  <si>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</si>
  <si>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</si>
  <si>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</si>
  <si>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</si>
  <si>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</si>
  <si>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</si>
  <si>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</si>
  <si>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</si>
  <si>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</si>
  <si>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</si>
  <si>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</si>
  <si>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</si>
  <si>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</si>
  <si>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</si>
  <si>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</si>
  <si>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</si>
  <si>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</si>
  <si>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</si>
  <si>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</si>
  <si>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</si>
  <si>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</si>
  <si>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</si>
  <si>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</si>
  <si>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</si>
  <si>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</si>
  <si>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</si>
  <si>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</si>
  <si>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</si>
  <si>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</si>
  <si>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</si>
  <si>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</si>
  <si>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</si>
  <si>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</si>
  <si>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</si>
  <si>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</si>
  <si>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</si>
  <si>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</si>
  <si>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</si>
  <si>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</si>
  <si>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</si>
  <si>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</si>
  <si>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</si>
  <si>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</si>
  <si>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</si>
  <si>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</si>
  <si>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</si>
  <si>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</si>
  <si>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</si>
  <si>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</si>
  <si>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</si>
  <si>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</si>
  <si>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</si>
  <si>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</si>
  <si>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</si>
  <si>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</si>
  <si>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</si>
  <si>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</si>
  <si>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</si>
  <si>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</si>
  <si>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</si>
  <si>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</si>
  <si>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</si>
  <si>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</si>
  <si>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</si>
  <si>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</si>
  <si>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</si>
  <si>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</si>
  <si>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</si>
  <si>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</si>
  <si>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</si>
  <si>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</si>
  <si>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</si>
  <si>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</si>
  <si>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</si>
  <si>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</si>
  <si>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</si>
  <si>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</si>
  <si>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</si>
  <si>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</si>
  <si>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</si>
  <si>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</si>
  <si>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</si>
  <si>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</si>
  <si>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</si>
  <si>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</si>
  <si>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</si>
  <si>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</si>
  <si>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</si>
  <si>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</si>
  <si>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</si>
  <si>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</si>
  <si>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</si>
  <si>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</si>
  <si>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</si>
  <si>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</si>
  <si>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</si>
  <si>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</si>
  <si>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</si>
  <si>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</si>
  <si>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</si>
  <si>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</si>
  <si>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</si>
  <si>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</si>
  <si>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</si>
  <si>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</si>
  <si>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</si>
  <si>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</si>
  <si>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</si>
  <si>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</si>
  <si>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</si>
  <si>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</si>
  <si>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</si>
  <si>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</si>
  <si>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</si>
  <si>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</si>
  <si>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</si>
  <si>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</si>
  <si>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</si>
  <si>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</si>
  <si>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</si>
  <si>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</si>
  <si>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</si>
  <si>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</si>
  <si>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</si>
  <si>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</si>
  <si>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</si>
  <si>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</si>
  <si>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</si>
  <si>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</si>
  <si>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</si>
  <si>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</si>
  <si>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</si>
  <si>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</si>
  <si>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</si>
  <si>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</si>
  <si>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</si>
  <si>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</si>
  <si>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</si>
  <si>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</si>
  <si>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</si>
  <si>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</si>
  <si>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</si>
  <si>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</si>
  <si>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</si>
  <si>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</si>
  <si>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</si>
  <si>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</si>
  <si>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</si>
  <si>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</si>
  <si>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</si>
  <si>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</si>
  <si>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</si>
  <si>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</si>
  <si>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</si>
  <si>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</si>
  <si>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</si>
  <si>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</si>
  <si>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</si>
  <si>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</si>
  <si>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</si>
  <si>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</si>
  <si>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</si>
  <si>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</si>
  <si>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</si>
  <si>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</si>
  <si>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</si>
  <si>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</si>
  <si>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</si>
  <si>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</si>
  <si>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</si>
  <si>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</si>
  <si>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</si>
  <si>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</si>
  <si>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</si>
  <si>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</si>
  <si>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</si>
  <si>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</si>
  <si>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</si>
  <si>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</si>
  <si>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</si>
  <si>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</si>
  <si>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</si>
  <si>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</si>
  <si>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</si>
  <si>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</si>
  <si>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</si>
  <si>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</si>
  <si>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</si>
  <si>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</si>
  <si>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</si>
  <si>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</si>
  <si>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</si>
  <si>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</si>
  <si>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</si>
  <si>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</si>
  <si>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</si>
  <si>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</si>
  <si>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</si>
  <si>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</si>
  <si>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</si>
  <si>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</si>
  <si>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</si>
  <si>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</si>
  <si>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</si>
  <si>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</si>
  <si>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</si>
  <si>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</si>
  <si>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</si>
  <si>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</si>
  <si>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</si>
  <si>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</si>
  <si>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</si>
  <si>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</si>
  <si>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</si>
  <si>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</si>
  <si>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</si>
  <si>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</si>
  <si>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</si>
  <si>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</si>
  <si>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</si>
  <si>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</si>
  <si>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</si>
  <si>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</si>
  <si>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</si>
  <si>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</si>
  <si>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</si>
  <si>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</si>
  <si>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</si>
  <si>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</si>
  <si>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</si>
  <si>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</si>
  <si>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</si>
  <si>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</si>
  <si>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</si>
  <si>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</si>
  <si>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</si>
  <si>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</si>
  <si>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</si>
  <si>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</si>
  <si>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</si>
  <si>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</si>
  <si>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</si>
  <si>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</si>
  <si>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</si>
  <si>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</si>
  <si>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</si>
  <si>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</si>
  <si>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</si>
  <si>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</si>
  <si>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</si>
  <si>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</si>
  <si>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</si>
  <si>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</si>
  <si>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</si>
  <si>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</si>
  <si>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</si>
  <si>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</si>
  <si>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</si>
  <si>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</si>
  <si>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</si>
  <si>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</si>
  <si>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</si>
  <si>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</si>
  <si>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</si>
  <si>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</si>
  <si>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</si>
  <si>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</si>
  <si>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</si>
  <si>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</si>
  <si>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</si>
  <si>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</si>
  <si>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</si>
  <si>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</si>
  <si>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</si>
  <si>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</si>
  <si>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</si>
  <si>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</si>
  <si>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</si>
  <si>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</si>
  <si>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</si>
  <si>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</si>
  <si>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</si>
  <si>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</si>
  <si>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</si>
  <si>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</si>
  <si>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</si>
  <si>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</si>
  <si>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</si>
  <si>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</si>
  <si>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</si>
  <si>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</si>
  <si>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</si>
  <si>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</si>
  <si>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</si>
  <si>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</si>
  <si>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</si>
  <si>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</si>
  <si>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</si>
  <si>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</si>
  <si>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</si>
  <si>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</si>
  <si>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</si>
  <si>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</si>
  <si>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</si>
  <si>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</si>
  <si>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</si>
  <si>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</si>
  <si>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</si>
  <si>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</si>
  <si>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</si>
  <si>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</si>
  <si>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</si>
  <si>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</si>
  <si>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</si>
  <si>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</si>
  <si>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</si>
  <si>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</si>
  <si>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</si>
  <si>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</si>
  <si>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</si>
  <si>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</si>
  <si>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</si>
  <si>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</si>
  <si>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</si>
  <si>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</si>
  <si>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</si>
  <si>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</si>
  <si>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</si>
  <si>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</si>
  <si>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</si>
  <si>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</si>
  <si>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</si>
  <si>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</si>
  <si>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</si>
  <si>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</si>
  <si>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</si>
  <si>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</si>
  <si>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</si>
  <si>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</si>
  <si>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</si>
  <si>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</si>
  <si>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</si>
  <si>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</si>
  <si>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</si>
  <si>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</si>
  <si>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</si>
  <si>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</si>
  <si>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</si>
  <si>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</si>
  <si>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</si>
  <si>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</si>
  <si>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</si>
  <si>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</si>
  <si>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</si>
  <si>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</si>
  <si>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</si>
  <si>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</si>
  <si>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</si>
  <si>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</si>
  <si>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</si>
  <si>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</si>
  <si>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</si>
  <si>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</si>
  <si>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</si>
  <si>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</si>
  <si>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</si>
  <si>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</si>
  <si>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</si>
  <si>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</si>
  <si>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</si>
  <si>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</si>
  <si>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</si>
  <si>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</si>
  <si>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</si>
  <si>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</si>
  <si>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</si>
  <si>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</si>
  <si>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</si>
  <si>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</si>
  <si>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</si>
  <si>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</si>
  <si>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</si>
  <si>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</si>
  <si>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</si>
  <si>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</si>
  <si>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</si>
  <si>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</si>
  <si>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</si>
  <si>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</si>
  <si>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</si>
  <si>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</si>
  <si>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</si>
  <si>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</si>
  <si>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</si>
  <si>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</si>
  <si>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</si>
  <si>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</si>
  <si>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</si>
  <si>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</si>
  <si>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</si>
  <si>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</si>
  <si>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</si>
  <si>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</si>
  <si>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</si>
  <si>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</si>
  <si>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</si>
  <si>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</si>
  <si>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</si>
  <si>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</si>
  <si>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</si>
  <si>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</si>
  <si>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</si>
  <si>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</si>
  <si>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</si>
  <si>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</si>
  <si>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</si>
  <si>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</si>
  <si>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</si>
  <si>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</si>
  <si>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</si>
  <si>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</si>
  <si>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</si>
  <si>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</si>
  <si>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</si>
  <si>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</si>
  <si>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</si>
  <si>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</si>
  <si>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</si>
  <si>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</si>
  <si>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</si>
  <si>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</si>
  <si>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</si>
  <si>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</si>
  <si>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</si>
  <si>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</si>
  <si>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</si>
  <si>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</si>
  <si>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</si>
  <si>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</si>
  <si>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</si>
  <si>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</si>
  <si>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</si>
  <si>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</si>
  <si>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</si>
  <si>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</si>
  <si>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</si>
  <si>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</si>
  <si>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</si>
  <si>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</si>
  <si>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</si>
  <si>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</si>
  <si>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</si>
  <si>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</si>
  <si>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</si>
  <si>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</si>
  <si>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</si>
  <si>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</si>
  <si>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</si>
  <si>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</si>
  <si>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</si>
  <si>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</si>
  <si>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</si>
  <si>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</si>
  <si>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</si>
  <si>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</si>
  <si>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</si>
  <si>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</si>
  <si>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</si>
  <si>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</si>
  <si>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</si>
  <si>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</si>
  <si>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</si>
  <si>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</si>
  <si>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</si>
  <si>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</si>
  <si>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</si>
  <si>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</si>
  <si>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</si>
  <si>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</si>
  <si>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</si>
  <si>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</si>
  <si>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</si>
  <si>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</si>
  <si>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</si>
  <si>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</si>
  <si>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</si>
  <si>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</si>
  <si>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</si>
  <si>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</si>
  <si>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</si>
  <si>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</si>
  <si>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</si>
  <si>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</si>
  <si>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</si>
  <si>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</si>
  <si>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</si>
  <si>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</si>
  <si>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</si>
  <si>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</si>
  <si>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</si>
  <si>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</si>
  <si>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</si>
  <si>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</si>
  <si>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</si>
  <si>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</si>
  <si>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</si>
  <si>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</si>
  <si>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</si>
  <si>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</si>
  <si>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</si>
  <si>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</si>
  <si>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</si>
  <si>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</si>
  <si>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</si>
  <si>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</si>
  <si>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</si>
  <si>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</si>
  <si>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</si>
  <si>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</si>
  <si>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</si>
  <si>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</si>
  <si>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</si>
  <si>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</si>
  <si>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</si>
  <si>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</si>
  <si>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</si>
  <si>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</si>
  <si>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</si>
  <si>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</si>
  <si>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</si>
  <si>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</si>
  <si>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</si>
  <si>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</si>
  <si>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</si>
  <si>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</si>
  <si>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</si>
  <si>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</si>
  <si>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</si>
  <si>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</si>
  <si>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</si>
  <si>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</si>
  <si>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</si>
  <si>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</si>
  <si>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</si>
  <si>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</si>
  <si>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</si>
  <si>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</si>
  <si>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</si>
  <si>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</si>
  <si>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</si>
  <si>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</si>
  <si>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</si>
  <si>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</si>
  <si>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</si>
  <si>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</si>
  <si>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</si>
  <si>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</si>
  <si>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</si>
  <si>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</si>
  <si>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</si>
  <si>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</si>
  <si>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</si>
  <si>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</si>
  <si>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</si>
  <si>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</si>
  <si>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</si>
  <si>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</si>
  <si>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</si>
  <si>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</si>
  <si>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</si>
  <si>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</si>
  <si>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</si>
  <si>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</si>
  <si>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</si>
  <si>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</si>
  <si>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</si>
  <si>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</si>
  <si>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</si>
  <si>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</si>
  <si>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</si>
  <si>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</si>
  <si>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</si>
  <si>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</si>
  <si>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</si>
  <si>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</si>
  <si>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</si>
  <si>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</si>
  <si>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</si>
  <si>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</si>
  <si>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</si>
  <si>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</si>
  <si>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</si>
  <si>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</si>
  <si>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</si>
  <si>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</si>
  <si>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</si>
  <si>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</si>
  <si>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</si>
  <si>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</si>
  <si>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</si>
  <si>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</si>
  <si>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</si>
  <si>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</si>
  <si>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</si>
  <si>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</si>
  <si>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</si>
  <si>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</si>
  <si>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</si>
  <si>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</si>
  <si>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</si>
  <si>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</si>
  <si>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</si>
  <si>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</si>
  <si>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</si>
  <si>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</si>
  <si>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</si>
  <si>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</si>
  <si>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</si>
  <si>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</si>
  <si>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</si>
  <si>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</si>
  <si>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</si>
  <si>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</si>
  <si>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</si>
  <si>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</si>
  <si>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</si>
  <si>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</si>
  <si>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</si>
  <si>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</si>
  <si>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</si>
  <si>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</si>
  <si>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</si>
  <si>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</si>
  <si>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</si>
  <si>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</si>
  <si>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</si>
  <si>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</si>
  <si>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</si>
  <si>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</si>
  <si>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</si>
  <si>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</si>
  <si>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</si>
  <si>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</si>
  <si>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</si>
  <si>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</si>
  <si>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</si>
  <si>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</si>
  <si>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</si>
  <si>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</si>
  <si>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</si>
  <si>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</si>
  <si>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</si>
  <si>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</si>
  <si>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</si>
  <si>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</si>
  <si>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</si>
  <si>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</si>
  <si>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</si>
  <si>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</si>
  <si>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</si>
  <si>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</si>
  <si>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</si>
  <si>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</si>
  <si>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</si>
  <si>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</si>
  <si>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</si>
  <si>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</si>
  <si>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</si>
  <si>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</si>
  <si>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</si>
  <si>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</si>
  <si>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</si>
  <si>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</si>
  <si>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</si>
  <si>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</si>
  <si>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</si>
  <si>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</si>
  <si>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</si>
  <si>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</si>
  <si>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</si>
  <si>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</si>
  <si>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</si>
  <si>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</si>
  <si>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</si>
  <si>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</si>
  <si>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</si>
  <si>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</si>
  <si>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</si>
  <si>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</si>
  <si>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</si>
  <si>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</si>
  <si>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</si>
  <si>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</si>
  <si>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</si>
  <si>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</si>
  <si>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</si>
  <si>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</si>
  <si>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</si>
  <si>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</si>
  <si>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</si>
  <si>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</si>
  <si>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</si>
  <si>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</si>
  <si>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</si>
  <si>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</si>
  <si>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</si>
  <si>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</si>
  <si>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</si>
  <si>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</si>
  <si>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</si>
  <si>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</si>
  <si>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</si>
  <si>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</si>
  <si>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</si>
  <si>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</si>
  <si>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</si>
  <si>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</si>
  <si>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</si>
  <si>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</si>
  <si>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</si>
  <si>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</si>
  <si>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</si>
  <si>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</si>
  <si>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</si>
  <si>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</si>
  <si>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</si>
  <si>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</si>
  <si>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</si>
  <si>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</si>
  <si>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</si>
  <si>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</si>
  <si>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</si>
  <si>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</si>
  <si>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</si>
  <si>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</si>
  <si>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</si>
  <si>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</si>
  <si>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</si>
  <si>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</si>
  <si>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</si>
  <si>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</si>
  <si>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</si>
  <si>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</si>
  <si>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</si>
  <si>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</si>
  <si>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</si>
  <si>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</si>
  <si>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</si>
  <si>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</si>
  <si>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</si>
  <si>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</si>
  <si>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</si>
  <si>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</si>
  <si>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</si>
  <si>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</si>
  <si>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</si>
  <si>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</si>
  <si>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</si>
  <si>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</si>
  <si>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</si>
  <si>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</si>
  <si>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</si>
  <si>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</si>
  <si>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</si>
  <si>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</si>
  <si>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</si>
  <si>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</si>
  <si>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</si>
  <si>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</si>
  <si>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</si>
  <si>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</si>
  <si>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</si>
  <si>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</si>
  <si>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</si>
  <si>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</si>
  <si>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</si>
  <si>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</si>
  <si>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</si>
  <si>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</si>
  <si>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</si>
  <si>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</si>
  <si>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</si>
  <si>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</si>
  <si>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</si>
  <si>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</si>
  <si>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</si>
  <si>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</si>
  <si>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</si>
  <si>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</si>
  <si>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</si>
  <si>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</si>
  <si>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</si>
  <si>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</si>
  <si>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</si>
  <si>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</si>
  <si>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</si>
  <si>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</si>
  <si>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</si>
  <si>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</si>
  <si>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</si>
  <si>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</si>
  <si>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</si>
  <si>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</si>
  <si>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</si>
  <si>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</si>
  <si>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</si>
  <si>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</si>
  <si>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</si>
  <si>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</si>
  <si>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</si>
  <si>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</si>
  <si>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</si>
  <si>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</si>
  <si>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</si>
  <si>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</si>
  <si>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</si>
  <si>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</si>
  <si>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</si>
  <si>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</si>
  <si>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</si>
  <si>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</si>
  <si>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</si>
  <si>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</si>
  <si>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</si>
  <si>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</si>
  <si>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</si>
  <si>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</si>
  <si>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</si>
  <si>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</si>
  <si>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</si>
  <si>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</si>
  <si>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</si>
  <si>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</si>
  <si>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</si>
  <si>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</si>
  <si>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</si>
  <si>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</si>
  <si>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</si>
  <si>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</si>
  <si>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</si>
  <si>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</si>
  <si>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</si>
  <si>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</si>
  <si>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</si>
  <si>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</si>
  <si>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</si>
  <si>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</si>
  <si>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</si>
  <si>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</si>
  <si>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</si>
  <si>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</si>
  <si>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</si>
  <si>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</si>
  <si>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</si>
  <si>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</si>
  <si>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</si>
  <si>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</si>
  <si>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</si>
  <si>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</si>
  <si>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</si>
  <si>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</si>
  <si>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</si>
  <si>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</si>
  <si>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</si>
  <si>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</si>
  <si>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</si>
  <si>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</si>
  <si>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</si>
  <si>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</si>
  <si>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</si>
  <si>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</si>
  <si>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</si>
  <si>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</si>
  <si>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</si>
  <si>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</si>
  <si>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</si>
  <si>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</si>
  <si>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</si>
  <si>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</si>
  <si>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</si>
  <si>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</si>
  <si>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</si>
  <si>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</si>
  <si>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</si>
  <si>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</si>
  <si>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</si>
  <si>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</si>
  <si>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</si>
  <si>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</si>
  <si>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</si>
  <si>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</si>
  <si>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</si>
  <si>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</si>
  <si>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</si>
  <si>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</si>
  <si>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</si>
  <si>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</si>
  <si>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</si>
  <si>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>وبانک 27637 تا 313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</si>
  <si>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</si>
  <si>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</si>
  <si>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</si>
  <si>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</si>
  <si>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</si>
  <si>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</si>
  <si>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</si>
  <si>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</si>
  <si>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</si>
  <si>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</si>
  <si>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</si>
  <si>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</si>
  <si>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</si>
  <si>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</si>
  <si>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</si>
  <si>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</si>
  <si>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</si>
  <si>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</si>
  <si>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</si>
  <si>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</si>
  <si>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</si>
  <si>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</si>
  <si>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</si>
  <si>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</si>
  <si>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</si>
  <si>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</si>
  <si>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</si>
  <si>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</si>
  <si>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</si>
  <si>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</si>
  <si>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</si>
  <si>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</si>
  <si>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</si>
  <si>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</si>
  <si>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</si>
  <si>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</si>
  <si>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</si>
  <si>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</si>
  <si>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</si>
  <si>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</si>
  <si>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</si>
  <si>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</si>
  <si>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</si>
  <si>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</si>
  <si>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</si>
  <si>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</si>
  <si>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</si>
  <si>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</si>
  <si>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</si>
  <si>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</si>
  <si>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</si>
  <si>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</si>
  <si>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</si>
  <si>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</si>
  <si>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</si>
  <si>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</si>
  <si>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</si>
  <si>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</si>
  <si>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</si>
  <si>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</si>
  <si>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</si>
  <si>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</si>
  <si>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</si>
  <si>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</si>
  <si>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</si>
  <si>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</si>
  <si>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</si>
  <si>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</si>
  <si>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</si>
  <si>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</si>
  <si>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</si>
  <si>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</si>
  <si>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</si>
  <si>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</si>
  <si>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</si>
  <si>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</si>
  <si>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</si>
  <si>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</si>
  <si>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</si>
  <si>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</si>
  <si>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</si>
  <si>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</si>
  <si>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</si>
  <si>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</si>
  <si>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</si>
  <si>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</si>
  <si>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</si>
  <si>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</si>
  <si>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</si>
  <si>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</si>
  <si>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</si>
  <si>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</si>
  <si>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</si>
  <si>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</si>
  <si>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</si>
  <si>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</si>
  <si>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</si>
  <si>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</si>
  <si>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</si>
  <si>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</si>
  <si>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</si>
  <si>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</si>
  <si>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</si>
  <si>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</si>
  <si>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وبانک 15274 تا 292.6</t>
  </si>
  <si>
    <t>شاراک</t>
  </si>
  <si>
    <t>شاراک 10431 تا 4418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</si>
  <si>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</si>
  <si>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</si>
  <si>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</si>
  <si>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</si>
  <si>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</si>
  <si>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</si>
  <si>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</si>
  <si>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</si>
  <si>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</si>
  <si>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</si>
  <si>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</si>
  <si>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</si>
  <si>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وتوسم 5208 تا 191.3</t>
  </si>
  <si>
    <t>وتوسم</t>
  </si>
  <si>
    <t>سهم علی از 155 تا زپارس حساب علی</t>
  </si>
  <si>
    <t>سهم علی از 155 تا زپارس حساب مریم</t>
  </si>
  <si>
    <t>وتوسم 749 تا 189.5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</si>
  <si>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</si>
  <si>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</si>
  <si>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</si>
  <si>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</si>
  <si>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29/8/1397</t>
  </si>
  <si>
    <t>وتوسم 9146 تا 188.8</t>
  </si>
  <si>
    <t>وتوسم سارا</t>
  </si>
  <si>
    <t>وتوسم 827 تا 189.5</t>
  </si>
  <si>
    <t>نوسانگیری 20408 تا وصنعت 29/8</t>
  </si>
  <si>
    <t>از ملت علی به بورس علی 30/8</t>
  </si>
  <si>
    <t>30/8/1397</t>
  </si>
  <si>
    <t>وتوسم 7042 تا 188.1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</si>
  <si>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</si>
  <si>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</si>
  <si>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</si>
  <si>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</si>
  <si>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</si>
  <si>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</si>
  <si>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</si>
  <si>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</si>
  <si>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5661 تا 184.6 حساب سارا</t>
  </si>
  <si>
    <t>وغدیر سارا</t>
  </si>
  <si>
    <t>بدهی به سارا نقدی 4/9</t>
  </si>
  <si>
    <t>5/9/1397</t>
  </si>
  <si>
    <t>مادیرا 399 تا 365</t>
  </si>
  <si>
    <t>مادیرا</t>
  </si>
  <si>
    <t xml:space="preserve">مادیرا </t>
  </si>
  <si>
    <t>مادیرا 398 تا 365</t>
  </si>
  <si>
    <t>مادیرا سارا</t>
  </si>
  <si>
    <t>وغدیر 10000 تا 177.5</t>
  </si>
  <si>
    <t>6/9/1397</t>
  </si>
  <si>
    <t>6/91397</t>
  </si>
  <si>
    <t>10/9/1397</t>
  </si>
  <si>
    <t>7/9/1397</t>
  </si>
  <si>
    <t>زاگرس 390 تا 4861</t>
  </si>
  <si>
    <t>بدهی وام انصار 4 قسط 7/9/97</t>
  </si>
  <si>
    <t>بدهی وام بانک ملی 3 قسط 1/9/97</t>
  </si>
  <si>
    <t>بدهی وام بانک ملی 2 قسط 5/9/97</t>
  </si>
  <si>
    <t>طلب از حسین اکبریان 398 تا مادیرا</t>
  </si>
  <si>
    <t>تبدیل تمام سهمهای جزیی به وغدیر و یا سکه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</si>
  <si>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</si>
  <si>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</si>
  <si>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</si>
  <si>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</si>
  <si>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</si>
  <si>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</si>
  <si>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</si>
  <si>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</si>
  <si>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</si>
  <si>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مجموع سهام حساب علی و داریوش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</si>
  <si>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</si>
  <si>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</si>
  <si>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</si>
  <si>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</si>
  <si>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</si>
  <si>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</si>
  <si>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</si>
  <si>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</si>
  <si>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</si>
  <si>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</si>
  <si>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</si>
  <si>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</si>
  <si>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</si>
  <si>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</si>
  <si>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</si>
  <si>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</si>
  <si>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</si>
  <si>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</si>
  <si>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</si>
  <si>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</si>
  <si>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</si>
  <si>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</si>
  <si>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</si>
  <si>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</si>
  <si>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</si>
  <si>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</si>
  <si>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</si>
  <si>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</si>
  <si>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</si>
  <si>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</si>
  <si>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طلب از داریوش 10114 تا وغدیر 21/7/97</t>
  </si>
  <si>
    <t>وغدیر 9552 تا 190.3 (انتقالی از حساب داریوش)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</si>
  <si>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</si>
  <si>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</si>
  <si>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</si>
  <si>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</si>
  <si>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</si>
  <si>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</si>
  <si>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فروش 5492 تا وغدیر حساب داریوش 917351 تومن</t>
  </si>
  <si>
    <t>فروش 9552 تا وغدیر در حساب داریوش 1648594 تومن</t>
  </si>
  <si>
    <t>وغدیر 190.3 که 4622 تا  در حساب داریوش است</t>
  </si>
  <si>
    <t>وغدیر 5492 تا 190.3 ( انتقالی از حساب داریوش)</t>
  </si>
  <si>
    <t>12/9/1397</t>
  </si>
  <si>
    <t>سکه9912 تعداد 10 قیمت 396500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</si>
  <si>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</si>
  <si>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</si>
  <si>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</si>
  <si>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</si>
  <si>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</si>
  <si>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</si>
  <si>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حذف سفارش فروش همه سهمها غیر از وغدیر</t>
  </si>
  <si>
    <t>14/9/1397</t>
  </si>
  <si>
    <t>فروش سهام و خرید سکه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</si>
  <si>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</si>
  <si>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</si>
  <si>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</si>
  <si>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</si>
  <si>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 xml:space="preserve">وغدیر 9705 تا 184.6 که 2715 تا حساب مریم </t>
  </si>
  <si>
    <t>17/9/1397</t>
  </si>
  <si>
    <t>سکه9812 تعداد 10 قیمت 389000</t>
  </si>
  <si>
    <t>مبلغ 41000 تومن نوسانگیری</t>
  </si>
  <si>
    <t>18/9/1397</t>
  </si>
  <si>
    <t>سکه9912 تعداد 10 قیمت 391500</t>
  </si>
  <si>
    <t>سکه9912 تعداد 10 قیمت 402000</t>
  </si>
  <si>
    <t>مبلغ 30000 تومن نوسانگیری</t>
  </si>
  <si>
    <t>وغدیر 34000 تا میانگین خرید 172.2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</si>
</sst>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4257</v>
      </c>
      <c r="B1" t="s">
        <v>4258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opLeftCell="A16" workbookViewId="0">
      <selection activeCell="F19" sqref="F19"/>
    </sheetView>
  </sheetViews>
  <sheetFormatPr defaultRowHeight="15"/>
  <cols>
    <col min="2" max="2" width="15.85546875" bestFit="1" customWidth="1"/>
    <col min="3" max="3" width="14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4459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4468</v>
      </c>
      <c r="B3" s="18">
        <v>2500000</v>
      </c>
      <c r="C3" s="18">
        <v>0</v>
      </c>
      <c r="D3" s="117">
        <f t="shared" ref="D3:D26" si="0">B3-C3</f>
        <v>2500000</v>
      </c>
      <c r="E3" s="20" t="s">
        <v>3893</v>
      </c>
      <c r="F3" s="96">
        <v>27</v>
      </c>
      <c r="G3" s="96">
        <f t="shared" ref="G3:G25" si="1">B3*F3</f>
        <v>67500000</v>
      </c>
      <c r="H3" s="96">
        <f t="shared" ref="H3:H25" si="2">C3*F3</f>
        <v>0</v>
      </c>
      <c r="I3" s="96">
        <f t="shared" ref="I3:I25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4472</v>
      </c>
      <c r="B4" s="18">
        <v>-2500000</v>
      </c>
      <c r="C4" s="18">
        <v>0</v>
      </c>
      <c r="D4" s="113">
        <f t="shared" si="0"/>
        <v>-2500000</v>
      </c>
      <c r="E4" s="99" t="s">
        <v>3772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4482</v>
      </c>
      <c r="B5" s="18">
        <v>1100000</v>
      </c>
      <c r="C5" s="18">
        <v>0</v>
      </c>
      <c r="D5" s="113">
        <f t="shared" si="0"/>
        <v>1100000</v>
      </c>
      <c r="E5" s="20" t="s">
        <v>4337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4490</v>
      </c>
      <c r="B6" s="18">
        <v>3000000</v>
      </c>
      <c r="C6" s="18">
        <v>0</v>
      </c>
      <c r="D6" s="113">
        <f t="shared" si="0"/>
        <v>3000000</v>
      </c>
      <c r="E6" s="19" t="s">
        <v>4491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4481</v>
      </c>
      <c r="B7" s="18">
        <v>-2000700</v>
      </c>
      <c r="C7" s="18">
        <v>0</v>
      </c>
      <c r="D7" s="113">
        <f t="shared" si="0"/>
        <v>-2000700</v>
      </c>
      <c r="E7" s="19" t="s">
        <v>4522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4481</v>
      </c>
      <c r="B8" s="18">
        <v>-40000</v>
      </c>
      <c r="C8" s="18">
        <v>0</v>
      </c>
      <c r="D8" s="113">
        <f t="shared" si="0"/>
        <v>-40000</v>
      </c>
      <c r="E8" s="19" t="s">
        <v>1136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4481</v>
      </c>
      <c r="B9" s="18">
        <v>-2000000</v>
      </c>
      <c r="C9" s="18">
        <v>0</v>
      </c>
      <c r="D9" s="113">
        <f t="shared" si="0"/>
        <v>-2000000</v>
      </c>
      <c r="E9" s="21" t="s">
        <v>3772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4481</v>
      </c>
      <c r="B10" s="18">
        <v>490000</v>
      </c>
      <c r="C10" s="18">
        <v>0</v>
      </c>
      <c r="D10" s="113">
        <f t="shared" si="0"/>
        <v>490000</v>
      </c>
      <c r="E10" s="19" t="s">
        <v>3893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4531</v>
      </c>
      <c r="B11" s="18">
        <v>1400000</v>
      </c>
      <c r="C11" s="18">
        <v>0</v>
      </c>
      <c r="D11" s="113">
        <f t="shared" si="0"/>
        <v>1400000</v>
      </c>
      <c r="E11" s="19" t="s">
        <v>3893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4531</v>
      </c>
      <c r="B12" s="18">
        <v>-1500000</v>
      </c>
      <c r="C12" s="18">
        <v>0</v>
      </c>
      <c r="D12" s="113">
        <f t="shared" si="0"/>
        <v>-1500000</v>
      </c>
      <c r="E12" s="20" t="s">
        <v>3772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4541</v>
      </c>
      <c r="B13" s="18">
        <v>-100000</v>
      </c>
      <c r="C13" s="18">
        <v>0</v>
      </c>
      <c r="D13" s="113">
        <f t="shared" si="0"/>
        <v>-100000</v>
      </c>
      <c r="E13" s="20" t="s">
        <v>3772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4235</v>
      </c>
      <c r="B14" s="18">
        <v>-13900</v>
      </c>
      <c r="C14" s="18">
        <v>0</v>
      </c>
      <c r="D14" s="113">
        <f t="shared" si="0"/>
        <v>-13900</v>
      </c>
      <c r="E14" s="20" t="s">
        <v>4017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4235</v>
      </c>
      <c r="B15" s="18">
        <v>300000</v>
      </c>
      <c r="C15" s="18">
        <v>0</v>
      </c>
      <c r="D15" s="117">
        <f t="shared" si="0"/>
        <v>300000</v>
      </c>
      <c r="E15" s="20" t="s">
        <v>3893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4552</v>
      </c>
      <c r="B16" s="18">
        <v>12000000</v>
      </c>
      <c r="C16" s="18">
        <v>0</v>
      </c>
      <c r="D16" s="113">
        <f t="shared" si="0"/>
        <v>12000000</v>
      </c>
      <c r="E16" s="20" t="s">
        <v>4553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4554</v>
      </c>
      <c r="B17" s="18">
        <v>3000000</v>
      </c>
      <c r="C17" s="18">
        <v>0</v>
      </c>
      <c r="D17" s="113">
        <f t="shared" si="0"/>
        <v>3000000</v>
      </c>
      <c r="E17" s="20" t="s">
        <v>3893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4557</v>
      </c>
      <c r="B18" s="18">
        <v>-14000000</v>
      </c>
      <c r="C18" s="18">
        <v>0</v>
      </c>
      <c r="D18" s="113">
        <f t="shared" si="0"/>
        <v>-14000000</v>
      </c>
      <c r="E18" s="20" t="s">
        <v>3772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4423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4423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4419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1651494</v>
      </c>
      <c r="C27" s="113">
        <f>SUM(C2:C26)</f>
        <v>8034286</v>
      </c>
      <c r="D27" s="113">
        <f>SUM(D2:D26)</f>
        <v>-6382792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46277920</v>
      </c>
      <c r="H28" s="18">
        <f>SUM(H2:H26)</f>
        <v>241028580</v>
      </c>
      <c r="I28" s="18">
        <f>SUM(I2:I26)</f>
        <v>-194750660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114">
        <v>0</v>
      </c>
      <c r="E33" s="41" t="s">
        <v>4519</v>
      </c>
      <c r="F33" s="96"/>
      <c r="G33" s="18">
        <v>600</v>
      </c>
      <c r="H33" s="18">
        <f>G33*H28/G28</f>
        <v>3124.9707852038296</v>
      </c>
      <c r="I33" s="18">
        <f>G33*I28/G28</f>
        <v>-2524.9707852038296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ht="30">
      <c r="A34" s="96"/>
      <c r="B34" s="96"/>
      <c r="C34" s="96"/>
      <c r="D34" s="114">
        <v>1000000</v>
      </c>
      <c r="E34" s="54" t="s">
        <v>4523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189200</v>
      </c>
      <c r="E35" s="54" t="s">
        <v>4525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40000</v>
      </c>
      <c r="E36" s="54" t="s">
        <v>4524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-490000</v>
      </c>
      <c r="E37" s="54" t="s">
        <v>4528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-597051</v>
      </c>
      <c r="E38" s="54" t="s">
        <v>4544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13900</v>
      </c>
      <c r="E39" s="54" t="s">
        <v>4545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2000000</v>
      </c>
      <c r="E40" s="54" t="s">
        <v>4546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-300000</v>
      </c>
      <c r="E41" s="54" t="s">
        <v>4547</v>
      </c>
      <c r="F41" s="96"/>
      <c r="G41" s="96" t="s">
        <v>25</v>
      </c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ht="30">
      <c r="A42" s="96"/>
      <c r="B42" s="96"/>
      <c r="C42" s="96"/>
      <c r="D42" s="114">
        <v>300000</v>
      </c>
      <c r="E42" s="54" t="s">
        <v>4555</v>
      </c>
      <c r="F42" s="96" t="s">
        <v>25</v>
      </c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/>
      <c r="E43" s="54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/>
      <c r="E44" s="54"/>
      <c r="F44" s="96"/>
      <c r="G44" s="96"/>
      <c r="H44" s="96" t="s">
        <v>25</v>
      </c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/>
      <c r="E45" s="54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/>
      <c r="E46" s="54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/>
      <c r="E47" s="54"/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96"/>
      <c r="E48" s="54" t="s">
        <v>25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f>SUM(D33:D48)</f>
        <v>2156049</v>
      </c>
      <c r="E49" s="96" t="s">
        <v>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/>
      <c r="E50" s="41"/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96"/>
      <c r="E51" s="96" t="s">
        <v>25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96"/>
      <c r="E52" s="96" t="s">
        <v>25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96"/>
      <c r="E54" s="96" t="s">
        <v>25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96"/>
      <c r="E55" s="96" t="s">
        <v>25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 t="s">
        <v>25</v>
      </c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6" activePane="bottomLeft" state="frozen"/>
      <selection pane="bottomLeft" activeCell="F256" sqref="F256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974</v>
      </c>
      <c r="H2" s="36">
        <f>IF(B2&gt;0,1,0)</f>
        <v>1</v>
      </c>
      <c r="I2" s="11">
        <f>B2*(G2-H2)</f>
        <v>16249100</v>
      </c>
      <c r="J2" s="53">
        <f>C2*(G2-H2)</f>
        <v>16249100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973</v>
      </c>
      <c r="H3" s="36">
        <f t="shared" ref="H3:H66" si="2">IF(B3&gt;0,1,0)</f>
        <v>1</v>
      </c>
      <c r="I3" s="11">
        <f t="shared" ref="I3:I66" si="3">B3*(G3-H3)</f>
        <v>19342800000</v>
      </c>
      <c r="J3" s="53">
        <f t="shared" ref="J3:J66" si="4">C3*(G3-H3)</f>
        <v>11068164000</v>
      </c>
      <c r="K3" s="53">
        <f t="shared" ref="K3:K66" si="5">D3*(G3-H3)</f>
        <v>8274636000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973</v>
      </c>
      <c r="H4" s="36">
        <f t="shared" si="2"/>
        <v>0</v>
      </c>
      <c r="I4" s="11">
        <f t="shared" si="3"/>
        <v>0</v>
      </c>
      <c r="J4" s="53">
        <f t="shared" si="4"/>
        <v>8270500</v>
      </c>
      <c r="K4" s="53">
        <f t="shared" si="5"/>
        <v>-8270500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971</v>
      </c>
      <c r="H5" s="36">
        <f t="shared" si="2"/>
        <v>1</v>
      </c>
      <c r="I5" s="11">
        <f t="shared" si="3"/>
        <v>1940000000</v>
      </c>
      <c r="J5" s="53">
        <f t="shared" si="4"/>
        <v>0</v>
      </c>
      <c r="K5" s="53">
        <f t="shared" si="5"/>
        <v>1940000000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964</v>
      </c>
      <c r="H6" s="36">
        <f t="shared" si="2"/>
        <v>0</v>
      </c>
      <c r="I6" s="11">
        <f t="shared" si="3"/>
        <v>-4820000</v>
      </c>
      <c r="J6" s="53">
        <f t="shared" si="4"/>
        <v>0</v>
      </c>
      <c r="K6" s="53">
        <f t="shared" si="5"/>
        <v>-4820000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960</v>
      </c>
      <c r="H7" s="36">
        <f t="shared" si="2"/>
        <v>0</v>
      </c>
      <c r="I7" s="11">
        <f t="shared" si="3"/>
        <v>-1152480000</v>
      </c>
      <c r="J7" s="53">
        <f t="shared" si="4"/>
        <v>0</v>
      </c>
      <c r="K7" s="53">
        <f t="shared" si="5"/>
        <v>-1152480000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959</v>
      </c>
      <c r="H8" s="36">
        <f t="shared" si="2"/>
        <v>0</v>
      </c>
      <c r="I8" s="11">
        <f t="shared" si="3"/>
        <v>-191800000</v>
      </c>
      <c r="J8" s="53">
        <f t="shared" si="4"/>
        <v>0</v>
      </c>
      <c r="K8" s="53">
        <f t="shared" si="5"/>
        <v>-191800000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957</v>
      </c>
      <c r="H9" s="36">
        <f t="shared" si="2"/>
        <v>0</v>
      </c>
      <c r="I9" s="11">
        <f t="shared" si="3"/>
        <v>-675163500</v>
      </c>
      <c r="J9" s="53">
        <f t="shared" si="4"/>
        <v>0</v>
      </c>
      <c r="K9" s="53">
        <f t="shared" si="5"/>
        <v>-675163500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948</v>
      </c>
      <c r="H10" s="36">
        <f t="shared" si="2"/>
        <v>0</v>
      </c>
      <c r="I10" s="11">
        <f t="shared" si="3"/>
        <v>-189600000</v>
      </c>
      <c r="J10" s="53">
        <f t="shared" si="4"/>
        <v>0</v>
      </c>
      <c r="K10" s="53">
        <f t="shared" si="5"/>
        <v>-189600000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948</v>
      </c>
      <c r="H11" s="36">
        <f t="shared" si="2"/>
        <v>1</v>
      </c>
      <c r="I11" s="11">
        <f t="shared" si="3"/>
        <v>947000000</v>
      </c>
      <c r="J11" s="53">
        <f t="shared" si="4"/>
        <v>0</v>
      </c>
      <c r="K11" s="53">
        <f t="shared" si="5"/>
        <v>947000000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944</v>
      </c>
      <c r="H12" s="36">
        <f t="shared" si="2"/>
        <v>0</v>
      </c>
      <c r="I12" s="11">
        <f t="shared" si="3"/>
        <v>-283200000</v>
      </c>
      <c r="J12" s="53">
        <f t="shared" si="4"/>
        <v>0</v>
      </c>
      <c r="K12" s="53">
        <f t="shared" si="5"/>
        <v>-283200000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939</v>
      </c>
      <c r="H13" s="36">
        <f t="shared" si="2"/>
        <v>0</v>
      </c>
      <c r="I13" s="11">
        <f t="shared" si="3"/>
        <v>-58218000</v>
      </c>
      <c r="J13" s="53">
        <f t="shared" si="4"/>
        <v>0</v>
      </c>
      <c r="K13" s="53">
        <f t="shared" si="5"/>
        <v>-58218000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939</v>
      </c>
      <c r="H14" s="36">
        <f t="shared" si="2"/>
        <v>1</v>
      </c>
      <c r="I14" s="11">
        <f t="shared" si="3"/>
        <v>1876000000</v>
      </c>
      <c r="J14" s="53">
        <f t="shared" si="4"/>
        <v>0</v>
      </c>
      <c r="K14" s="53">
        <f t="shared" si="5"/>
        <v>1876000000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938</v>
      </c>
      <c r="H15" s="36">
        <f t="shared" si="2"/>
        <v>1</v>
      </c>
      <c r="I15" s="11">
        <f t="shared" si="3"/>
        <v>1686600000</v>
      </c>
      <c r="J15" s="53">
        <f t="shared" si="4"/>
        <v>0</v>
      </c>
      <c r="K15" s="53">
        <f t="shared" si="5"/>
        <v>1686600000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938</v>
      </c>
      <c r="H16" s="36">
        <f t="shared" si="2"/>
        <v>0</v>
      </c>
      <c r="I16" s="11">
        <f t="shared" si="3"/>
        <v>-187600000</v>
      </c>
      <c r="J16" s="53">
        <f t="shared" si="4"/>
        <v>0</v>
      </c>
      <c r="K16" s="53">
        <f t="shared" si="5"/>
        <v>-187600000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934</v>
      </c>
      <c r="H17" s="36">
        <f t="shared" si="2"/>
        <v>0</v>
      </c>
      <c r="I17" s="11">
        <f t="shared" si="3"/>
        <v>-1868000000</v>
      </c>
      <c r="J17" s="53">
        <f t="shared" si="4"/>
        <v>0</v>
      </c>
      <c r="K17" s="53">
        <f t="shared" si="5"/>
        <v>-1868000000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933</v>
      </c>
      <c r="H18" s="36">
        <f t="shared" si="2"/>
        <v>0</v>
      </c>
      <c r="I18" s="11">
        <f t="shared" si="3"/>
        <v>-279900000</v>
      </c>
      <c r="J18" s="53">
        <f t="shared" si="4"/>
        <v>0</v>
      </c>
      <c r="K18" s="53">
        <f t="shared" si="5"/>
        <v>-279900000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932</v>
      </c>
      <c r="H19" s="36">
        <f t="shared" si="2"/>
        <v>0</v>
      </c>
      <c r="I19" s="11">
        <f t="shared" si="3"/>
        <v>-186400000</v>
      </c>
      <c r="J19" s="53">
        <f t="shared" si="4"/>
        <v>0</v>
      </c>
      <c r="K19" s="53">
        <f t="shared" si="5"/>
        <v>-186400000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930</v>
      </c>
      <c r="H20" s="36">
        <f t="shared" si="2"/>
        <v>1</v>
      </c>
      <c r="I20" s="11">
        <f t="shared" si="3"/>
        <v>251841681</v>
      </c>
      <c r="J20" s="53">
        <f t="shared" si="4"/>
        <v>136982908</v>
      </c>
      <c r="K20" s="53">
        <f t="shared" si="5"/>
        <v>114858773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928</v>
      </c>
      <c r="H21" s="36">
        <f t="shared" si="2"/>
        <v>0</v>
      </c>
      <c r="I21" s="11">
        <f t="shared" si="3"/>
        <v>-1397289600</v>
      </c>
      <c r="J21" s="53">
        <f t="shared" si="4"/>
        <v>0</v>
      </c>
      <c r="K21" s="53">
        <f t="shared" si="5"/>
        <v>-1397289600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925</v>
      </c>
      <c r="H22" s="36">
        <f t="shared" si="2"/>
        <v>1</v>
      </c>
      <c r="I22" s="11">
        <f t="shared" si="3"/>
        <v>2772000000</v>
      </c>
      <c r="J22" s="53">
        <f t="shared" si="4"/>
        <v>0</v>
      </c>
      <c r="K22" s="53">
        <f t="shared" si="5"/>
        <v>2772000000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924</v>
      </c>
      <c r="H23" s="36">
        <f t="shared" si="2"/>
        <v>1</v>
      </c>
      <c r="I23" s="11">
        <f t="shared" si="3"/>
        <v>923000000</v>
      </c>
      <c r="J23" s="53">
        <f t="shared" si="4"/>
        <v>0</v>
      </c>
      <c r="K23" s="53">
        <f t="shared" si="5"/>
        <v>923000000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923</v>
      </c>
      <c r="H24" s="36">
        <f t="shared" si="2"/>
        <v>0</v>
      </c>
      <c r="I24" s="11">
        <f t="shared" si="3"/>
        <v>-2769830700</v>
      </c>
      <c r="J24" s="53">
        <f t="shared" si="4"/>
        <v>0</v>
      </c>
      <c r="K24" s="53">
        <f t="shared" si="5"/>
        <v>-2769830700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908</v>
      </c>
      <c r="H25" s="36">
        <f t="shared" si="2"/>
        <v>1</v>
      </c>
      <c r="I25" s="11">
        <f t="shared" si="3"/>
        <v>1360500000</v>
      </c>
      <c r="J25" s="53">
        <f t="shared" si="4"/>
        <v>0</v>
      </c>
      <c r="K25" s="53">
        <f t="shared" si="5"/>
        <v>1360500000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900</v>
      </c>
      <c r="H26" s="36">
        <f t="shared" si="2"/>
        <v>0</v>
      </c>
      <c r="I26" s="11">
        <f t="shared" si="3"/>
        <v>-147600000</v>
      </c>
      <c r="J26" s="53">
        <f t="shared" si="4"/>
        <v>0</v>
      </c>
      <c r="K26" s="53">
        <f t="shared" si="5"/>
        <v>-147600000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899</v>
      </c>
      <c r="H27" s="36">
        <f t="shared" si="2"/>
        <v>1</v>
      </c>
      <c r="I27" s="11">
        <f t="shared" si="3"/>
        <v>179054914</v>
      </c>
      <c r="J27" s="53">
        <f t="shared" si="4"/>
        <v>96456874</v>
      </c>
      <c r="K27" s="53">
        <f t="shared" si="5"/>
        <v>82598040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897</v>
      </c>
      <c r="H28" s="36">
        <f t="shared" si="2"/>
        <v>0</v>
      </c>
      <c r="I28" s="11">
        <f t="shared" si="3"/>
        <v>-198237000</v>
      </c>
      <c r="J28" s="53">
        <f t="shared" si="4"/>
        <v>-198237000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897</v>
      </c>
      <c r="H29" s="36">
        <f t="shared" si="2"/>
        <v>0</v>
      </c>
      <c r="I29" s="11">
        <f t="shared" si="3"/>
        <v>-448948500</v>
      </c>
      <c r="J29" s="53">
        <f t="shared" si="4"/>
        <v>0</v>
      </c>
      <c r="K29" s="53">
        <f t="shared" si="5"/>
        <v>-448948500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897</v>
      </c>
      <c r="H30" s="36">
        <f t="shared" si="2"/>
        <v>0</v>
      </c>
      <c r="I30" s="11">
        <f t="shared" si="3"/>
        <v>-13455000000</v>
      </c>
      <c r="J30" s="53">
        <f t="shared" si="4"/>
        <v>-13455000000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880</v>
      </c>
      <c r="H31" s="36">
        <f t="shared" si="2"/>
        <v>0</v>
      </c>
      <c r="I31" s="11">
        <f t="shared" si="3"/>
        <v>-2649592000</v>
      </c>
      <c r="J31" s="53">
        <f t="shared" si="4"/>
        <v>0</v>
      </c>
      <c r="K31" s="53">
        <f t="shared" si="5"/>
        <v>-2649592000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878</v>
      </c>
      <c r="H32" s="36">
        <f t="shared" si="2"/>
        <v>0</v>
      </c>
      <c r="I32" s="11">
        <f t="shared" si="3"/>
        <v>-2639180200</v>
      </c>
      <c r="J32" s="53">
        <f t="shared" si="4"/>
        <v>0</v>
      </c>
      <c r="K32" s="53">
        <f t="shared" si="5"/>
        <v>-2639180200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877</v>
      </c>
      <c r="H33" s="36">
        <f t="shared" si="2"/>
        <v>0</v>
      </c>
      <c r="I33" s="11">
        <f t="shared" si="3"/>
        <v>-785353500</v>
      </c>
      <c r="J33" s="53">
        <f t="shared" si="4"/>
        <v>0</v>
      </c>
      <c r="K33" s="53">
        <f t="shared" si="5"/>
        <v>-785353500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877</v>
      </c>
      <c r="H34" s="36">
        <f t="shared" si="2"/>
        <v>0</v>
      </c>
      <c r="I34" s="11">
        <f t="shared" si="3"/>
        <v>0</v>
      </c>
      <c r="J34" s="53">
        <f t="shared" si="4"/>
        <v>877000000</v>
      </c>
      <c r="K34" s="53">
        <f t="shared" si="5"/>
        <v>-877000000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868</v>
      </c>
      <c r="H35" s="36">
        <f t="shared" si="2"/>
        <v>1</v>
      </c>
      <c r="I35" s="11">
        <f t="shared" si="3"/>
        <v>45493224</v>
      </c>
      <c r="J35" s="53">
        <f t="shared" si="4"/>
        <v>-18781821</v>
      </c>
      <c r="K35" s="53">
        <f t="shared" si="5"/>
        <v>64275045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868</v>
      </c>
      <c r="H36" s="36">
        <f t="shared" si="2"/>
        <v>0</v>
      </c>
      <c r="I36" s="11">
        <f t="shared" si="3"/>
        <v>0</v>
      </c>
      <c r="J36" s="53">
        <f t="shared" si="4"/>
        <v>18803484</v>
      </c>
      <c r="K36" s="53">
        <f t="shared" si="5"/>
        <v>-18803484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858</v>
      </c>
      <c r="H37" s="36">
        <f t="shared" si="2"/>
        <v>0</v>
      </c>
      <c r="I37" s="11">
        <f t="shared" si="3"/>
        <v>-47190000</v>
      </c>
      <c r="J37" s="53">
        <f t="shared" si="4"/>
        <v>0</v>
      </c>
      <c r="K37" s="53">
        <f t="shared" si="5"/>
        <v>-47190000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857</v>
      </c>
      <c r="H38" s="36">
        <f t="shared" si="2"/>
        <v>1</v>
      </c>
      <c r="I38" s="11">
        <f t="shared" si="3"/>
        <v>2568000000</v>
      </c>
      <c r="J38" s="53">
        <f t="shared" si="4"/>
        <v>2568000000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856</v>
      </c>
      <c r="H39" s="36">
        <f t="shared" si="2"/>
        <v>1</v>
      </c>
      <c r="I39" s="11">
        <f t="shared" si="3"/>
        <v>2137500000</v>
      </c>
      <c r="J39" s="53">
        <f t="shared" si="4"/>
        <v>2137500000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856</v>
      </c>
      <c r="H40" s="36">
        <f t="shared" si="2"/>
        <v>0</v>
      </c>
      <c r="I40" s="11">
        <f t="shared" si="3"/>
        <v>-42800000</v>
      </c>
      <c r="J40" s="53">
        <f t="shared" si="4"/>
        <v>0</v>
      </c>
      <c r="K40" s="53">
        <f t="shared" si="5"/>
        <v>-42800000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856</v>
      </c>
      <c r="H41" s="36">
        <f t="shared" si="2"/>
        <v>1</v>
      </c>
      <c r="I41" s="11">
        <f t="shared" si="3"/>
        <v>2565000000</v>
      </c>
      <c r="J41" s="53">
        <f t="shared" si="4"/>
        <v>0</v>
      </c>
      <c r="K41" s="53">
        <f t="shared" si="5"/>
        <v>2565000000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853</v>
      </c>
      <c r="H42" s="36">
        <f t="shared" si="2"/>
        <v>0</v>
      </c>
      <c r="I42" s="11">
        <f t="shared" si="3"/>
        <v>-76087600</v>
      </c>
      <c r="J42" s="53">
        <f t="shared" si="4"/>
        <v>0</v>
      </c>
      <c r="K42" s="53">
        <f t="shared" si="5"/>
        <v>-76087600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849</v>
      </c>
      <c r="H43" s="36">
        <f t="shared" si="2"/>
        <v>0</v>
      </c>
      <c r="I43" s="11">
        <f t="shared" si="3"/>
        <v>-169800000</v>
      </c>
      <c r="J43" s="53">
        <f t="shared" si="4"/>
        <v>0</v>
      </c>
      <c r="K43" s="53">
        <f t="shared" si="5"/>
        <v>-169800000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847</v>
      </c>
      <c r="H44" s="36">
        <f t="shared" si="2"/>
        <v>0</v>
      </c>
      <c r="I44" s="11">
        <f t="shared" si="3"/>
        <v>-169400000</v>
      </c>
      <c r="J44" s="53">
        <f t="shared" si="4"/>
        <v>0</v>
      </c>
      <c r="K44" s="53">
        <f t="shared" si="5"/>
        <v>-169400000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847</v>
      </c>
      <c r="H45" s="36">
        <f t="shared" si="2"/>
        <v>0</v>
      </c>
      <c r="I45" s="11">
        <f t="shared" si="3"/>
        <v>-474320000</v>
      </c>
      <c r="J45" s="53">
        <f t="shared" si="4"/>
        <v>0</v>
      </c>
      <c r="K45" s="53">
        <f t="shared" si="5"/>
        <v>-474320000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843</v>
      </c>
      <c r="H46" s="36">
        <f t="shared" si="2"/>
        <v>0</v>
      </c>
      <c r="I46" s="11">
        <f t="shared" si="3"/>
        <v>-594736500</v>
      </c>
      <c r="J46" s="53">
        <f t="shared" si="4"/>
        <v>0</v>
      </c>
      <c r="K46" s="53">
        <f t="shared" si="5"/>
        <v>-594736500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837</v>
      </c>
      <c r="H47" s="36">
        <f t="shared" si="2"/>
        <v>1</v>
      </c>
      <c r="I47" s="11">
        <f t="shared" si="3"/>
        <v>34446544</v>
      </c>
      <c r="J47" s="53">
        <f t="shared" si="4"/>
        <v>5612068</v>
      </c>
      <c r="K47" s="53">
        <f t="shared" si="5"/>
        <v>28834476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837</v>
      </c>
      <c r="H48" s="36">
        <f t="shared" si="2"/>
        <v>1</v>
      </c>
      <c r="I48" s="11">
        <f t="shared" si="3"/>
        <v>1425129200</v>
      </c>
      <c r="J48" s="53">
        <f t="shared" si="4"/>
        <v>0</v>
      </c>
      <c r="K48" s="53">
        <f t="shared" si="5"/>
        <v>1425129200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828</v>
      </c>
      <c r="H49" s="36">
        <f t="shared" si="2"/>
        <v>0</v>
      </c>
      <c r="I49" s="11">
        <f t="shared" si="3"/>
        <v>-128340000</v>
      </c>
      <c r="J49" s="53">
        <f t="shared" si="4"/>
        <v>0</v>
      </c>
      <c r="K49" s="53">
        <f t="shared" si="5"/>
        <v>-128340000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828</v>
      </c>
      <c r="H50" s="36">
        <f t="shared" si="2"/>
        <v>0</v>
      </c>
      <c r="I50" s="11">
        <f t="shared" si="3"/>
        <v>-114264000</v>
      </c>
      <c r="J50" s="53">
        <f t="shared" si="4"/>
        <v>0</v>
      </c>
      <c r="K50" s="53">
        <f t="shared" si="5"/>
        <v>-114264000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828</v>
      </c>
      <c r="H51" s="36">
        <f t="shared" si="2"/>
        <v>0</v>
      </c>
      <c r="I51" s="11">
        <f t="shared" si="3"/>
        <v>-612720000</v>
      </c>
      <c r="J51" s="53">
        <f t="shared" si="4"/>
        <v>0</v>
      </c>
      <c r="K51" s="53">
        <f t="shared" si="5"/>
        <v>-612720000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828</v>
      </c>
      <c r="H52" s="36">
        <f t="shared" si="2"/>
        <v>0</v>
      </c>
      <c r="I52" s="11">
        <f t="shared" si="3"/>
        <v>-165600000</v>
      </c>
      <c r="J52" s="53">
        <f t="shared" si="4"/>
        <v>0</v>
      </c>
      <c r="K52" s="53">
        <f t="shared" si="5"/>
        <v>-165600000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827</v>
      </c>
      <c r="H53" s="36">
        <f t="shared" si="2"/>
        <v>0</v>
      </c>
      <c r="I53" s="11">
        <f t="shared" si="3"/>
        <v>-872485000</v>
      </c>
      <c r="J53" s="53">
        <f t="shared" si="4"/>
        <v>0</v>
      </c>
      <c r="K53" s="53">
        <f t="shared" si="5"/>
        <v>-872485000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827</v>
      </c>
      <c r="H54" s="36">
        <f t="shared" si="2"/>
        <v>0</v>
      </c>
      <c r="I54" s="11">
        <f t="shared" si="3"/>
        <v>-165400000</v>
      </c>
      <c r="J54" s="53">
        <f t="shared" si="4"/>
        <v>0</v>
      </c>
      <c r="K54" s="53">
        <f t="shared" si="5"/>
        <v>-165400000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827</v>
      </c>
      <c r="H55" s="36">
        <f t="shared" si="2"/>
        <v>0</v>
      </c>
      <c r="I55" s="11">
        <f t="shared" si="3"/>
        <v>-827413500</v>
      </c>
      <c r="J55" s="53">
        <f t="shared" si="4"/>
        <v>0</v>
      </c>
      <c r="K55" s="53">
        <f t="shared" si="5"/>
        <v>-827413500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827</v>
      </c>
      <c r="H56" s="36">
        <f t="shared" si="2"/>
        <v>0</v>
      </c>
      <c r="I56" s="11">
        <f t="shared" si="3"/>
        <v>-31426000</v>
      </c>
      <c r="J56" s="53">
        <f t="shared" si="4"/>
        <v>0</v>
      </c>
      <c r="K56" s="53">
        <f t="shared" si="5"/>
        <v>-31426000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827</v>
      </c>
      <c r="H57" s="36">
        <f t="shared" si="2"/>
        <v>0</v>
      </c>
      <c r="I57" s="11">
        <f t="shared" si="3"/>
        <v>-86835000</v>
      </c>
      <c r="J57" s="53">
        <f t="shared" si="4"/>
        <v>0</v>
      </c>
      <c r="K57" s="53">
        <f t="shared" si="5"/>
        <v>-86835000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827</v>
      </c>
      <c r="H58" s="36">
        <f t="shared" si="2"/>
        <v>0</v>
      </c>
      <c r="I58" s="11">
        <f t="shared" si="3"/>
        <v>-49620000</v>
      </c>
      <c r="J58" s="53">
        <f t="shared" si="4"/>
        <v>0</v>
      </c>
      <c r="K58" s="53">
        <f t="shared" si="5"/>
        <v>-49620000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824</v>
      </c>
      <c r="H59" s="36">
        <f t="shared" si="2"/>
        <v>1</v>
      </c>
      <c r="I59" s="11">
        <f t="shared" si="3"/>
        <v>823000000</v>
      </c>
      <c r="J59" s="53">
        <f t="shared" si="4"/>
        <v>823000000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823</v>
      </c>
      <c r="H60" s="36">
        <f t="shared" si="2"/>
        <v>1</v>
      </c>
      <c r="I60" s="11">
        <f t="shared" si="3"/>
        <v>2877000000</v>
      </c>
      <c r="J60" s="53">
        <f t="shared" si="4"/>
        <v>2877000000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821</v>
      </c>
      <c r="H61" s="36">
        <f t="shared" si="2"/>
        <v>1</v>
      </c>
      <c r="I61" s="11">
        <f t="shared" si="3"/>
        <v>820000000</v>
      </c>
      <c r="J61" s="53">
        <f t="shared" si="4"/>
        <v>820000000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821</v>
      </c>
      <c r="H62" s="36">
        <f t="shared" si="2"/>
        <v>1</v>
      </c>
      <c r="I62" s="11">
        <f t="shared" si="3"/>
        <v>2460000000</v>
      </c>
      <c r="J62" s="53">
        <f t="shared" si="4"/>
        <v>2460000000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819</v>
      </c>
      <c r="H63" s="36">
        <f t="shared" si="2"/>
        <v>0</v>
      </c>
      <c r="I63" s="11">
        <f t="shared" si="3"/>
        <v>-163800000</v>
      </c>
      <c r="J63" s="53">
        <f t="shared" si="4"/>
        <v>0</v>
      </c>
      <c r="K63" s="53">
        <f t="shared" si="5"/>
        <v>-163800000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814</v>
      </c>
      <c r="H64" s="36">
        <f t="shared" si="2"/>
        <v>0</v>
      </c>
      <c r="I64" s="11">
        <f t="shared" si="3"/>
        <v>-40700000</v>
      </c>
      <c r="J64" s="53">
        <f t="shared" si="4"/>
        <v>0</v>
      </c>
      <c r="K64" s="53">
        <f t="shared" si="5"/>
        <v>-40700000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810</v>
      </c>
      <c r="H65" s="36">
        <f t="shared" si="2"/>
        <v>0</v>
      </c>
      <c r="I65" s="11">
        <f t="shared" si="3"/>
        <v>-162000000</v>
      </c>
      <c r="J65" s="53">
        <f t="shared" si="4"/>
        <v>0</v>
      </c>
      <c r="K65" s="53">
        <f t="shared" si="5"/>
        <v>-162000000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807</v>
      </c>
      <c r="H66" s="36">
        <f t="shared" si="2"/>
        <v>0</v>
      </c>
      <c r="I66" s="11">
        <f t="shared" si="3"/>
        <v>-137190000</v>
      </c>
      <c r="J66" s="53">
        <f t="shared" si="4"/>
        <v>0</v>
      </c>
      <c r="K66" s="53">
        <f t="shared" si="5"/>
        <v>-137190000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806</v>
      </c>
      <c r="H67" s="36">
        <f t="shared" ref="H67:H131" si="8">IF(B67&gt;0,1,0)</f>
        <v>1</v>
      </c>
      <c r="I67" s="11">
        <f t="shared" ref="I67:I119" si="9">B67*(G67-H67)</f>
        <v>73516625</v>
      </c>
      <c r="J67" s="53">
        <f t="shared" ref="J67:J131" si="10">C67*(G67-H67)</f>
        <v>52907015</v>
      </c>
      <c r="K67" s="53">
        <f t="shared" ref="K67:K131" si="11">D67*(G67-H67)</f>
        <v>20609610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788</v>
      </c>
      <c r="H68" s="36">
        <f t="shared" si="8"/>
        <v>0</v>
      </c>
      <c r="I68" s="11">
        <f t="shared" si="9"/>
        <v>-114260000</v>
      </c>
      <c r="J68" s="53">
        <f t="shared" si="10"/>
        <v>0</v>
      </c>
      <c r="K68" s="53">
        <f t="shared" si="11"/>
        <v>-114260000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781</v>
      </c>
      <c r="H69" s="36">
        <f t="shared" si="8"/>
        <v>1</v>
      </c>
      <c r="I69" s="11">
        <f t="shared" si="9"/>
        <v>764400000</v>
      </c>
      <c r="J69" s="53">
        <f t="shared" si="10"/>
        <v>0</v>
      </c>
      <c r="K69" s="53">
        <f t="shared" si="11"/>
        <v>764400000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778</v>
      </c>
      <c r="H70" s="36">
        <f t="shared" si="8"/>
        <v>0</v>
      </c>
      <c r="I70" s="11">
        <f t="shared" si="9"/>
        <v>-35788000</v>
      </c>
      <c r="J70" s="53">
        <f t="shared" si="10"/>
        <v>0</v>
      </c>
      <c r="K70" s="53">
        <f t="shared" si="11"/>
        <v>-35788000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776</v>
      </c>
      <c r="H71" s="36">
        <f t="shared" si="8"/>
        <v>1</v>
      </c>
      <c r="I71" s="11">
        <f t="shared" si="9"/>
        <v>89386950</v>
      </c>
      <c r="J71" s="53">
        <f t="shared" si="10"/>
        <v>80454300</v>
      </c>
      <c r="K71" s="53">
        <f t="shared" si="11"/>
        <v>8932650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775</v>
      </c>
      <c r="H72" s="36">
        <f t="shared" si="8"/>
        <v>0</v>
      </c>
      <c r="I72" s="11">
        <f t="shared" si="9"/>
        <v>-117775975</v>
      </c>
      <c r="J72" s="53">
        <f t="shared" si="10"/>
        <v>0</v>
      </c>
      <c r="K72" s="53">
        <f t="shared" si="11"/>
        <v>-117775975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774</v>
      </c>
      <c r="H73" s="36">
        <f t="shared" si="8"/>
        <v>0</v>
      </c>
      <c r="I73" s="11">
        <f t="shared" si="9"/>
        <v>-623457000</v>
      </c>
      <c r="J73" s="53">
        <f t="shared" si="10"/>
        <v>0</v>
      </c>
      <c r="K73" s="53">
        <f t="shared" si="11"/>
        <v>-623457000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767</v>
      </c>
      <c r="H74" s="36">
        <f t="shared" si="8"/>
        <v>1</v>
      </c>
      <c r="I74" s="11">
        <f t="shared" si="9"/>
        <v>5358170000</v>
      </c>
      <c r="J74" s="53">
        <f t="shared" si="10"/>
        <v>0</v>
      </c>
      <c r="K74" s="53">
        <f t="shared" si="11"/>
        <v>5358170000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766</v>
      </c>
      <c r="H75" s="36">
        <f t="shared" si="8"/>
        <v>1</v>
      </c>
      <c r="I75" s="11">
        <f t="shared" si="9"/>
        <v>2295000000</v>
      </c>
      <c r="J75" s="53">
        <f t="shared" si="10"/>
        <v>0</v>
      </c>
      <c r="K75" s="53">
        <f t="shared" si="11"/>
        <v>2295000000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764</v>
      </c>
      <c r="H76" s="36">
        <f t="shared" si="8"/>
        <v>1</v>
      </c>
      <c r="I76" s="11">
        <f t="shared" si="9"/>
        <v>2289000000</v>
      </c>
      <c r="J76" s="53">
        <f t="shared" si="10"/>
        <v>0</v>
      </c>
      <c r="K76" s="53">
        <f t="shared" si="11"/>
        <v>2289000000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763</v>
      </c>
      <c r="H77" s="36">
        <f t="shared" si="8"/>
        <v>1</v>
      </c>
      <c r="I77" s="11">
        <f t="shared" si="9"/>
        <v>2286000000</v>
      </c>
      <c r="J77" s="53">
        <f t="shared" si="10"/>
        <v>0</v>
      </c>
      <c r="K77" s="53">
        <f t="shared" si="11"/>
        <v>2286000000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762</v>
      </c>
      <c r="H78" s="36">
        <f t="shared" si="8"/>
        <v>0</v>
      </c>
      <c r="I78" s="11">
        <f t="shared" si="9"/>
        <v>-2438400000</v>
      </c>
      <c r="J78" s="53">
        <f t="shared" si="10"/>
        <v>-2438400000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761</v>
      </c>
      <c r="H79" s="36">
        <f t="shared" si="8"/>
        <v>0</v>
      </c>
      <c r="I79" s="11">
        <f t="shared" si="9"/>
        <v>-608800000</v>
      </c>
      <c r="J79" s="53">
        <f t="shared" si="10"/>
        <v>-608800000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760</v>
      </c>
      <c r="H80" s="36">
        <f t="shared" si="8"/>
        <v>0</v>
      </c>
      <c r="I80" s="11">
        <f t="shared" si="9"/>
        <v>-36778680</v>
      </c>
      <c r="J80" s="53">
        <f t="shared" si="10"/>
        <v>0</v>
      </c>
      <c r="K80" s="53">
        <f t="shared" si="11"/>
        <v>-36778680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759</v>
      </c>
      <c r="H81" s="36">
        <f t="shared" si="8"/>
        <v>0</v>
      </c>
      <c r="I81" s="11">
        <f t="shared" si="9"/>
        <v>-106260000</v>
      </c>
      <c r="J81" s="53">
        <f t="shared" si="10"/>
        <v>0</v>
      </c>
      <c r="K81" s="53">
        <f t="shared" si="11"/>
        <v>-106260000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758</v>
      </c>
      <c r="H82" s="36">
        <f t="shared" si="8"/>
        <v>0</v>
      </c>
      <c r="I82" s="11">
        <f t="shared" si="9"/>
        <v>-189500000</v>
      </c>
      <c r="J82" s="53">
        <f t="shared" si="10"/>
        <v>0</v>
      </c>
      <c r="K82" s="53">
        <f t="shared" si="11"/>
        <v>-189500000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757</v>
      </c>
      <c r="H83" s="36">
        <f t="shared" si="8"/>
        <v>0</v>
      </c>
      <c r="I83" s="11">
        <f t="shared" si="9"/>
        <v>-151400000</v>
      </c>
      <c r="J83" s="53">
        <f t="shared" si="10"/>
        <v>0</v>
      </c>
      <c r="K83" s="53">
        <f t="shared" si="11"/>
        <v>-151400000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754</v>
      </c>
      <c r="H84" s="36">
        <f t="shared" si="8"/>
        <v>1</v>
      </c>
      <c r="I84" s="11">
        <f t="shared" si="9"/>
        <v>1231305600</v>
      </c>
      <c r="J84" s="53">
        <f t="shared" si="10"/>
        <v>0</v>
      </c>
      <c r="K84" s="53">
        <f t="shared" si="11"/>
        <v>1231305600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750</v>
      </c>
      <c r="H85" s="36">
        <f t="shared" si="8"/>
        <v>1</v>
      </c>
      <c r="I85" s="11">
        <f t="shared" si="9"/>
        <v>1872500000</v>
      </c>
      <c r="J85" s="53">
        <f t="shared" si="10"/>
        <v>0</v>
      </c>
      <c r="K85" s="53">
        <f t="shared" si="11"/>
        <v>1872500000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746</v>
      </c>
      <c r="H86" s="36">
        <f t="shared" si="8"/>
        <v>1</v>
      </c>
      <c r="I86" s="11">
        <f t="shared" si="9"/>
        <v>138793500</v>
      </c>
      <c r="J86" s="53">
        <f t="shared" si="10"/>
        <v>63287750</v>
      </c>
      <c r="K86" s="53">
        <f t="shared" si="11"/>
        <v>75505750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743</v>
      </c>
      <c r="H87" s="36">
        <f t="shared" si="8"/>
        <v>0</v>
      </c>
      <c r="I87" s="11">
        <f t="shared" si="9"/>
        <v>-148600000</v>
      </c>
      <c r="J87" s="53">
        <f t="shared" si="10"/>
        <v>0</v>
      </c>
      <c r="K87" s="53">
        <f t="shared" si="11"/>
        <v>-148600000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742</v>
      </c>
      <c r="H88" s="36">
        <f t="shared" si="8"/>
        <v>0</v>
      </c>
      <c r="I88" s="11">
        <f t="shared" si="9"/>
        <v>-87556000</v>
      </c>
      <c r="J88" s="53">
        <f t="shared" si="10"/>
        <v>-51198000</v>
      </c>
      <c r="K88" s="53">
        <f t="shared" si="11"/>
        <v>-36358000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734</v>
      </c>
      <c r="H89" s="36">
        <f t="shared" si="8"/>
        <v>0</v>
      </c>
      <c r="I89" s="11">
        <f t="shared" si="9"/>
        <v>-2349460600</v>
      </c>
      <c r="J89" s="53">
        <f t="shared" si="10"/>
        <v>0</v>
      </c>
      <c r="K89" s="53">
        <f t="shared" si="11"/>
        <v>-2349460600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733</v>
      </c>
      <c r="H90" s="36">
        <f t="shared" si="8"/>
        <v>0</v>
      </c>
      <c r="I90" s="11">
        <f t="shared" si="9"/>
        <v>-2346259700</v>
      </c>
      <c r="J90" s="53">
        <f t="shared" si="10"/>
        <v>0</v>
      </c>
      <c r="K90" s="53">
        <f t="shared" si="11"/>
        <v>-2346259700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732</v>
      </c>
      <c r="H91" s="36">
        <f t="shared" si="8"/>
        <v>0</v>
      </c>
      <c r="I91" s="11">
        <f t="shared" si="9"/>
        <v>-2343058800</v>
      </c>
      <c r="J91" s="53">
        <f t="shared" si="10"/>
        <v>0</v>
      </c>
      <c r="K91" s="53">
        <f t="shared" si="11"/>
        <v>-2343058800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731</v>
      </c>
      <c r="H92" s="36">
        <f t="shared" si="8"/>
        <v>0</v>
      </c>
      <c r="I92" s="11">
        <f t="shared" si="9"/>
        <v>-2339857900</v>
      </c>
      <c r="J92" s="53">
        <f t="shared" si="10"/>
        <v>0</v>
      </c>
      <c r="K92" s="53">
        <f t="shared" si="11"/>
        <v>-2339857900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730</v>
      </c>
      <c r="H93" s="36">
        <f t="shared" si="8"/>
        <v>0</v>
      </c>
      <c r="I93" s="11">
        <f t="shared" si="9"/>
        <v>-2336657000</v>
      </c>
      <c r="J93" s="53">
        <f t="shared" si="10"/>
        <v>0</v>
      </c>
      <c r="K93" s="53">
        <f t="shared" si="11"/>
        <v>-2336657000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729</v>
      </c>
      <c r="H94" s="36">
        <f t="shared" si="8"/>
        <v>0</v>
      </c>
      <c r="I94" s="11">
        <f t="shared" si="9"/>
        <v>-2333456100</v>
      </c>
      <c r="J94" s="53">
        <f t="shared" si="10"/>
        <v>0</v>
      </c>
      <c r="K94" s="53">
        <f t="shared" si="11"/>
        <v>-2333456100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727</v>
      </c>
      <c r="H95" s="36">
        <f t="shared" si="8"/>
        <v>0</v>
      </c>
      <c r="I95" s="11">
        <f t="shared" si="9"/>
        <v>-869925292</v>
      </c>
      <c r="J95" s="53">
        <f t="shared" si="10"/>
        <v>0</v>
      </c>
      <c r="K95" s="53">
        <f t="shared" si="11"/>
        <v>-869925292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717</v>
      </c>
      <c r="H96" s="36">
        <f t="shared" si="8"/>
        <v>0</v>
      </c>
      <c r="I96" s="11">
        <f t="shared" si="9"/>
        <v>-143400000</v>
      </c>
      <c r="J96" s="53">
        <f t="shared" si="10"/>
        <v>0</v>
      </c>
      <c r="K96" s="53">
        <f t="shared" si="11"/>
        <v>-143400000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716</v>
      </c>
      <c r="H97" s="36">
        <f t="shared" si="8"/>
        <v>1</v>
      </c>
      <c r="I97" s="11">
        <f t="shared" si="9"/>
        <v>114083970</v>
      </c>
      <c r="J97" s="53">
        <f t="shared" si="10"/>
        <v>49282090</v>
      </c>
      <c r="K97" s="53">
        <f t="shared" si="11"/>
        <v>64801880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711</v>
      </c>
      <c r="H98" s="36">
        <f t="shared" si="8"/>
        <v>1</v>
      </c>
      <c r="I98" s="11">
        <f t="shared" si="9"/>
        <v>81201280</v>
      </c>
      <c r="J98" s="53">
        <f t="shared" si="10"/>
        <v>0</v>
      </c>
      <c r="K98" s="53">
        <f t="shared" si="11"/>
        <v>81201280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708</v>
      </c>
      <c r="H99" s="36">
        <f t="shared" si="8"/>
        <v>0</v>
      </c>
      <c r="I99" s="11">
        <f t="shared" si="9"/>
        <v>-938100000</v>
      </c>
      <c r="J99" s="53">
        <f t="shared" si="10"/>
        <v>0</v>
      </c>
      <c r="K99" s="53">
        <f t="shared" si="11"/>
        <v>-938100000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703</v>
      </c>
      <c r="H100" s="36">
        <f t="shared" si="8"/>
        <v>1</v>
      </c>
      <c r="I100" s="11">
        <f t="shared" si="9"/>
        <v>930150000</v>
      </c>
      <c r="J100" s="53">
        <f t="shared" si="10"/>
        <v>0</v>
      </c>
      <c r="K100" s="53">
        <f t="shared" si="11"/>
        <v>930150000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686</v>
      </c>
      <c r="H101" s="36">
        <f t="shared" si="8"/>
        <v>1</v>
      </c>
      <c r="I101" s="11">
        <f t="shared" si="9"/>
        <v>45788825</v>
      </c>
      <c r="J101" s="53">
        <f t="shared" si="10"/>
        <v>45788825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683</v>
      </c>
      <c r="H102" s="36">
        <f t="shared" si="8"/>
        <v>1</v>
      </c>
      <c r="I102" s="11">
        <f t="shared" si="9"/>
        <v>2046000000</v>
      </c>
      <c r="J102" s="53">
        <f t="shared" si="10"/>
        <v>0</v>
      </c>
      <c r="K102" s="53">
        <f t="shared" si="11"/>
        <v>2046000000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676</v>
      </c>
      <c r="H103" s="36">
        <f t="shared" si="8"/>
        <v>0</v>
      </c>
      <c r="I103" s="11">
        <f t="shared" si="9"/>
        <v>-676000000</v>
      </c>
      <c r="J103" s="53">
        <f t="shared" si="10"/>
        <v>-676000000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666</v>
      </c>
      <c r="H104" s="36">
        <f t="shared" si="8"/>
        <v>1</v>
      </c>
      <c r="I104" s="11">
        <f t="shared" si="9"/>
        <v>1995000000</v>
      </c>
      <c r="J104" s="53">
        <f t="shared" si="10"/>
        <v>1995000000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665</v>
      </c>
      <c r="H105" s="36">
        <f t="shared" si="8"/>
        <v>1</v>
      </c>
      <c r="I105" s="11">
        <f t="shared" si="9"/>
        <v>743680000</v>
      </c>
      <c r="J105" s="53">
        <f t="shared" si="10"/>
        <v>743680000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665</v>
      </c>
      <c r="H106" s="36">
        <f t="shared" si="8"/>
        <v>0</v>
      </c>
      <c r="I106" s="11">
        <f t="shared" si="9"/>
        <v>-1995000000</v>
      </c>
      <c r="J106" s="53">
        <f t="shared" si="10"/>
        <v>0</v>
      </c>
      <c r="K106" s="53">
        <f t="shared" si="11"/>
        <v>-1995000000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656</v>
      </c>
      <c r="H107" s="36">
        <f t="shared" si="8"/>
        <v>1</v>
      </c>
      <c r="I107" s="11">
        <f t="shared" si="9"/>
        <v>59273570</v>
      </c>
      <c r="J107" s="53">
        <f t="shared" si="10"/>
        <v>49200325</v>
      </c>
      <c r="K107" s="53">
        <f t="shared" si="11"/>
        <v>10073245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654</v>
      </c>
      <c r="H108" s="36">
        <f t="shared" si="8"/>
        <v>0</v>
      </c>
      <c r="I108" s="11">
        <f t="shared" si="9"/>
        <v>-1112257800</v>
      </c>
      <c r="J108" s="53">
        <f t="shared" si="10"/>
        <v>0</v>
      </c>
      <c r="K108" s="53">
        <f t="shared" si="11"/>
        <v>-1112257800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650</v>
      </c>
      <c r="H109" s="36">
        <f t="shared" si="8"/>
        <v>0</v>
      </c>
      <c r="I109" s="11">
        <f t="shared" si="9"/>
        <v>-650325000</v>
      </c>
      <c r="J109" s="53">
        <f t="shared" si="10"/>
        <v>0</v>
      </c>
      <c r="K109" s="53">
        <f t="shared" si="11"/>
        <v>-650325000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647</v>
      </c>
      <c r="H110" s="36">
        <f t="shared" si="8"/>
        <v>1</v>
      </c>
      <c r="I110" s="11">
        <f t="shared" si="9"/>
        <v>12920000000</v>
      </c>
      <c r="J110" s="53">
        <f t="shared" si="10"/>
        <v>0</v>
      </c>
      <c r="K110" s="53">
        <f t="shared" si="11"/>
        <v>12920000000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627</v>
      </c>
      <c r="H111" s="36">
        <f t="shared" si="8"/>
        <v>1</v>
      </c>
      <c r="I111" s="11">
        <f t="shared" si="9"/>
        <v>109348428</v>
      </c>
      <c r="J111" s="53">
        <f t="shared" si="10"/>
        <v>54689238</v>
      </c>
      <c r="K111" s="53">
        <f t="shared" si="11"/>
        <v>54659190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611</v>
      </c>
      <c r="H112" s="36">
        <f t="shared" si="8"/>
        <v>0</v>
      </c>
      <c r="I112" s="11">
        <f t="shared" si="9"/>
        <v>-17352400000</v>
      </c>
      <c r="J112" s="53">
        <f t="shared" si="10"/>
        <v>0</v>
      </c>
      <c r="K112" s="53">
        <f t="shared" si="11"/>
        <v>-17352400000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596</v>
      </c>
      <c r="H113" s="36">
        <f t="shared" si="8"/>
        <v>1</v>
      </c>
      <c r="I113" s="11">
        <f t="shared" si="9"/>
        <v>97008800</v>
      </c>
      <c r="J113" s="53">
        <f t="shared" si="10"/>
        <v>72894045</v>
      </c>
      <c r="K113" s="53">
        <f t="shared" si="11"/>
        <v>24114755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596</v>
      </c>
      <c r="H114" s="36">
        <f t="shared" si="8"/>
        <v>0</v>
      </c>
      <c r="I114" s="11">
        <f t="shared" si="9"/>
        <v>-3397200</v>
      </c>
      <c r="J114" s="53">
        <f t="shared" si="10"/>
        <v>-1490000</v>
      </c>
      <c r="K114" s="53">
        <f t="shared" si="11"/>
        <v>-1907200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583</v>
      </c>
      <c r="H115" s="36">
        <f t="shared" si="8"/>
        <v>0</v>
      </c>
      <c r="I115" s="11">
        <f t="shared" si="9"/>
        <v>0</v>
      </c>
      <c r="J115" s="53">
        <f t="shared" si="10"/>
        <v>291500000</v>
      </c>
      <c r="K115" s="53">
        <f t="shared" si="11"/>
        <v>-291500000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575</v>
      </c>
      <c r="H116" s="36">
        <f t="shared" si="8"/>
        <v>0</v>
      </c>
      <c r="I116" s="11">
        <f t="shared" si="9"/>
        <v>-92000000</v>
      </c>
      <c r="J116" s="53">
        <f t="shared" si="10"/>
        <v>0</v>
      </c>
      <c r="K116" s="53">
        <f t="shared" si="11"/>
        <v>-92000000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566</v>
      </c>
      <c r="H117" s="36">
        <f t="shared" si="8"/>
        <v>1</v>
      </c>
      <c r="I117" s="11">
        <f t="shared" si="9"/>
        <v>836200</v>
      </c>
      <c r="J117" s="53">
        <f t="shared" si="10"/>
        <v>60421665</v>
      </c>
      <c r="K117" s="53">
        <f t="shared" si="11"/>
        <v>-59585465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544</v>
      </c>
      <c r="H118" s="36">
        <f t="shared" si="8"/>
        <v>1</v>
      </c>
      <c r="I118" s="11">
        <f t="shared" si="9"/>
        <v>21393928500</v>
      </c>
      <c r="J118" s="53">
        <f t="shared" si="10"/>
        <v>0</v>
      </c>
      <c r="K118" s="53">
        <f t="shared" si="11"/>
        <v>21393928500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535</v>
      </c>
      <c r="H119" s="36">
        <f t="shared" si="8"/>
        <v>1</v>
      </c>
      <c r="I119" s="11">
        <f t="shared" si="9"/>
        <v>51008214</v>
      </c>
      <c r="J119" s="53">
        <f t="shared" si="10"/>
        <v>58768836</v>
      </c>
      <c r="K119" s="53">
        <f t="shared" si="11"/>
        <v>-7760622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531</v>
      </c>
      <c r="H120" s="11">
        <f t="shared" si="8"/>
        <v>1</v>
      </c>
      <c r="I120" s="11">
        <f t="shared" ref="I120:I266" si="13">B120*(G120-H120)</f>
        <v>1060000000</v>
      </c>
      <c r="J120" s="11">
        <f t="shared" si="10"/>
        <v>0</v>
      </c>
      <c r="K120" s="11">
        <f t="shared" si="11"/>
        <v>1060000000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505</v>
      </c>
      <c r="H121" s="11">
        <f t="shared" si="8"/>
        <v>1</v>
      </c>
      <c r="I121" s="11">
        <f t="shared" si="13"/>
        <v>1310400000</v>
      </c>
      <c r="J121" s="11">
        <f t="shared" si="10"/>
        <v>0</v>
      </c>
      <c r="K121" s="11">
        <f t="shared" si="11"/>
        <v>1310400000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504</v>
      </c>
      <c r="H122" s="11">
        <f t="shared" si="8"/>
        <v>1</v>
      </c>
      <c r="I122" s="11">
        <f t="shared" si="13"/>
        <v>193429153</v>
      </c>
      <c r="J122" s="11">
        <f t="shared" si="10"/>
        <v>55786724</v>
      </c>
      <c r="K122" s="11">
        <f t="shared" si="11"/>
        <v>137642429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503</v>
      </c>
      <c r="H123" s="11">
        <f t="shared" si="8"/>
        <v>0</v>
      </c>
      <c r="I123" s="11">
        <f t="shared" si="13"/>
        <v>0</v>
      </c>
      <c r="J123" s="11">
        <f t="shared" si="10"/>
        <v>402400000</v>
      </c>
      <c r="K123" s="11">
        <f t="shared" si="11"/>
        <v>-402400000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489</v>
      </c>
      <c r="H124" s="11">
        <f t="shared" si="8"/>
        <v>0</v>
      </c>
      <c r="I124" s="11">
        <f t="shared" si="13"/>
        <v>-1467000000</v>
      </c>
      <c r="J124" s="11">
        <f t="shared" si="10"/>
        <v>0</v>
      </c>
      <c r="K124" s="11">
        <f t="shared" si="11"/>
        <v>-1467000000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474</v>
      </c>
      <c r="H125" s="11">
        <f t="shared" si="8"/>
        <v>1</v>
      </c>
      <c r="I125" s="11">
        <f t="shared" si="13"/>
        <v>189535830</v>
      </c>
      <c r="J125" s="11">
        <f t="shared" si="10"/>
        <v>56227875</v>
      </c>
      <c r="K125" s="11">
        <f t="shared" si="11"/>
        <v>133307955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474</v>
      </c>
      <c r="H126" s="11">
        <f t="shared" si="8"/>
        <v>1</v>
      </c>
      <c r="I126" s="11">
        <f t="shared" si="13"/>
        <v>19866000000</v>
      </c>
      <c r="J126" s="11">
        <f t="shared" si="10"/>
        <v>0</v>
      </c>
      <c r="K126" s="11">
        <f t="shared" si="11"/>
        <v>19866000000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449</v>
      </c>
      <c r="H127" s="11">
        <f t="shared" si="8"/>
        <v>0</v>
      </c>
      <c r="I127" s="11">
        <f t="shared" si="13"/>
        <v>-2245000</v>
      </c>
      <c r="J127" s="11">
        <f t="shared" si="10"/>
        <v>0</v>
      </c>
      <c r="K127" s="11">
        <f t="shared" si="11"/>
        <v>-2245000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443</v>
      </c>
      <c r="H128" s="11">
        <f t="shared" si="8"/>
        <v>1</v>
      </c>
      <c r="I128" s="11">
        <f t="shared" si="13"/>
        <v>340947308</v>
      </c>
      <c r="J128" s="11">
        <f t="shared" si="10"/>
        <v>53348074</v>
      </c>
      <c r="K128" s="11">
        <f t="shared" si="11"/>
        <v>287599234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440</v>
      </c>
      <c r="H129" s="11">
        <f t="shared" si="8"/>
        <v>1</v>
      </c>
      <c r="I129" s="11">
        <f t="shared" si="13"/>
        <v>1097500000</v>
      </c>
      <c r="J129" s="11">
        <f t="shared" si="10"/>
        <v>0</v>
      </c>
      <c r="K129" s="11">
        <f t="shared" si="11"/>
        <v>1097500000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426</v>
      </c>
      <c r="H130" s="11">
        <f t="shared" si="8"/>
        <v>0</v>
      </c>
      <c r="I130" s="11">
        <f t="shared" si="13"/>
        <v>-426000000</v>
      </c>
      <c r="J130" s="11">
        <f t="shared" si="10"/>
        <v>-426000000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421</v>
      </c>
      <c r="H131" s="11">
        <f t="shared" si="8"/>
        <v>0</v>
      </c>
      <c r="I131" s="11">
        <f t="shared" si="13"/>
        <v>-21050000000</v>
      </c>
      <c r="J131" s="11">
        <f t="shared" si="10"/>
        <v>0</v>
      </c>
      <c r="K131" s="11">
        <f t="shared" si="11"/>
        <v>-21050000000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413</v>
      </c>
      <c r="H132" s="11">
        <f t="shared" ref="H132:H266" si="15">IF(B132&gt;0,1,0)</f>
        <v>1</v>
      </c>
      <c r="I132" s="11">
        <f t="shared" si="13"/>
        <v>253086244</v>
      </c>
      <c r="J132" s="11">
        <f t="shared" ref="J132:J206" si="16">C132*(G132-H132)</f>
        <v>43660052</v>
      </c>
      <c r="K132" s="11">
        <f t="shared" ref="K132:K266" si="17">D132*(G132-H132)</f>
        <v>209426192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409</v>
      </c>
      <c r="H133" s="11">
        <f t="shared" si="15"/>
        <v>0</v>
      </c>
      <c r="I133" s="11">
        <f t="shared" si="13"/>
        <v>-495176300</v>
      </c>
      <c r="J133" s="11">
        <f t="shared" si="16"/>
        <v>0</v>
      </c>
      <c r="K133" s="11">
        <f t="shared" si="17"/>
        <v>-495176300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400</v>
      </c>
      <c r="H134" s="11">
        <f t="shared" si="15"/>
        <v>0</v>
      </c>
      <c r="I134" s="11">
        <f t="shared" si="13"/>
        <v>-26000000</v>
      </c>
      <c r="J134" s="11">
        <f t="shared" si="16"/>
        <v>0</v>
      </c>
      <c r="K134" s="11">
        <f t="shared" si="17"/>
        <v>-26000000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400</v>
      </c>
      <c r="H135" s="11">
        <f t="shared" si="15"/>
        <v>0</v>
      </c>
      <c r="I135" s="11">
        <f t="shared" si="13"/>
        <v>-12920000</v>
      </c>
      <c r="J135" s="11">
        <f t="shared" si="16"/>
        <v>0</v>
      </c>
      <c r="K135" s="11">
        <f t="shared" si="17"/>
        <v>-12920000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392</v>
      </c>
      <c r="H136" s="11">
        <f t="shared" si="15"/>
        <v>0</v>
      </c>
      <c r="I136" s="11">
        <f t="shared" si="13"/>
        <v>-392000000</v>
      </c>
      <c r="J136" s="11">
        <f t="shared" si="16"/>
        <v>-392000000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383</v>
      </c>
      <c r="H137" s="11">
        <f t="shared" si="15"/>
        <v>1</v>
      </c>
      <c r="I137" s="11">
        <f t="shared" si="13"/>
        <v>111113486</v>
      </c>
      <c r="J137" s="11">
        <f t="shared" si="16"/>
        <v>37191138</v>
      </c>
      <c r="K137" s="11">
        <f t="shared" si="17"/>
        <v>73922348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366</v>
      </c>
      <c r="H138" s="11">
        <f t="shared" si="15"/>
        <v>0</v>
      </c>
      <c r="I138" s="11">
        <f t="shared" si="13"/>
        <v>-366183000</v>
      </c>
      <c r="J138" s="11">
        <f t="shared" si="16"/>
        <v>-366183000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354</v>
      </c>
      <c r="H139" s="11">
        <f t="shared" si="15"/>
        <v>1</v>
      </c>
      <c r="I139" s="11">
        <f t="shared" si="13"/>
        <v>99630720</v>
      </c>
      <c r="J139" s="11">
        <f t="shared" si="16"/>
        <v>31348871</v>
      </c>
      <c r="K139" s="11">
        <f t="shared" si="17"/>
        <v>68281849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351</v>
      </c>
      <c r="H140" s="11">
        <f t="shared" si="15"/>
        <v>1</v>
      </c>
      <c r="I140" s="11">
        <f t="shared" si="13"/>
        <v>525000000</v>
      </c>
      <c r="J140" s="11">
        <f t="shared" si="16"/>
        <v>0</v>
      </c>
      <c r="K140" s="11">
        <f t="shared" si="17"/>
        <v>525000000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338</v>
      </c>
      <c r="H141" s="11">
        <f t="shared" si="15"/>
        <v>0</v>
      </c>
      <c r="I141" s="11">
        <f t="shared" si="13"/>
        <v>0</v>
      </c>
      <c r="J141" s="11">
        <f t="shared" si="16"/>
        <v>-338000000</v>
      </c>
      <c r="K141" s="11">
        <f t="shared" si="17"/>
        <v>338000000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324</v>
      </c>
      <c r="H142" s="11">
        <f t="shared" si="15"/>
        <v>1</v>
      </c>
      <c r="I142" s="11">
        <f t="shared" si="13"/>
        <v>93958439</v>
      </c>
      <c r="J142" s="11">
        <f t="shared" si="16"/>
        <v>26170106</v>
      </c>
      <c r="K142" s="11">
        <f t="shared" si="17"/>
        <v>67788333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304</v>
      </c>
      <c r="H143" s="11">
        <f t="shared" si="15"/>
        <v>0</v>
      </c>
      <c r="I143" s="11">
        <f t="shared" si="13"/>
        <v>0</v>
      </c>
      <c r="J143" s="11">
        <f t="shared" si="16"/>
        <v>-304000000</v>
      </c>
      <c r="K143" s="11">
        <f t="shared" si="17"/>
        <v>304000000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294</v>
      </c>
      <c r="H144" s="11">
        <f t="shared" si="15"/>
        <v>1</v>
      </c>
      <c r="I144" s="11">
        <f t="shared" si="13"/>
        <v>86391636</v>
      </c>
      <c r="J144" s="11">
        <f t="shared" si="16"/>
        <v>21874501</v>
      </c>
      <c r="K144" s="11">
        <f t="shared" si="17"/>
        <v>64517135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279</v>
      </c>
      <c r="H145" s="11">
        <f t="shared" si="15"/>
        <v>0</v>
      </c>
      <c r="I145" s="11">
        <f t="shared" si="13"/>
        <v>-2790000</v>
      </c>
      <c r="J145" s="11">
        <f t="shared" si="16"/>
        <v>-1395000</v>
      </c>
      <c r="K145" s="11">
        <f t="shared" si="17"/>
        <v>-1395000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274</v>
      </c>
      <c r="H146" s="11">
        <f t="shared" si="15"/>
        <v>0</v>
      </c>
      <c r="I146" s="11">
        <f t="shared" si="13"/>
        <v>-274137000</v>
      </c>
      <c r="J146" s="11">
        <f t="shared" si="16"/>
        <v>-274137000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268</v>
      </c>
      <c r="H147" s="11">
        <f t="shared" si="15"/>
        <v>0</v>
      </c>
      <c r="I147" s="11">
        <f t="shared" si="13"/>
        <v>-7236000000</v>
      </c>
      <c r="J147" s="11">
        <f t="shared" si="16"/>
        <v>0</v>
      </c>
      <c r="K147" s="11">
        <f t="shared" si="17"/>
        <v>-7236000000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265</v>
      </c>
      <c r="H148" s="11">
        <f t="shared" si="15"/>
        <v>1</v>
      </c>
      <c r="I148" s="11">
        <f t="shared" si="13"/>
        <v>66643104</v>
      </c>
      <c r="J148" s="11">
        <f t="shared" si="16"/>
        <v>17294640</v>
      </c>
      <c r="K148" s="11">
        <f t="shared" si="17"/>
        <v>49348464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1074</v>
      </c>
      <c r="F149" s="11">
        <v>7</v>
      </c>
      <c r="G149" s="36">
        <f t="shared" si="14"/>
        <v>257</v>
      </c>
      <c r="H149" s="11">
        <f t="shared" si="15"/>
        <v>1</v>
      </c>
      <c r="I149" s="11">
        <f t="shared" si="13"/>
        <v>13414400000</v>
      </c>
      <c r="J149" s="11">
        <f t="shared" si="16"/>
        <v>0</v>
      </c>
      <c r="K149" s="11">
        <f t="shared" si="17"/>
        <v>13414400000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250</v>
      </c>
      <c r="H150" s="11">
        <f t="shared" si="15"/>
        <v>0</v>
      </c>
      <c r="I150" s="11">
        <f t="shared" si="13"/>
        <v>-13000000000</v>
      </c>
      <c r="J150" s="11">
        <f t="shared" si="16"/>
        <v>0</v>
      </c>
      <c r="K150" s="11">
        <f t="shared" si="17"/>
        <v>-13000000000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245</v>
      </c>
      <c r="H151" s="99">
        <f t="shared" si="15"/>
        <v>0</v>
      </c>
      <c r="I151" s="99">
        <f t="shared" si="13"/>
        <v>-1960000000</v>
      </c>
      <c r="J151" s="99">
        <f t="shared" si="16"/>
        <v>-1659172095</v>
      </c>
      <c r="K151" s="11">
        <f t="shared" si="17"/>
        <v>-300827905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245</v>
      </c>
      <c r="H152" s="99">
        <f t="shared" si="15"/>
        <v>0</v>
      </c>
      <c r="I152" s="99">
        <f t="shared" si="13"/>
        <v>-7651350</v>
      </c>
      <c r="J152" s="99">
        <f t="shared" si="16"/>
        <v>0</v>
      </c>
      <c r="K152" s="99">
        <f t="shared" si="17"/>
        <v>-7651350</v>
      </c>
    </row>
    <row r="153" spans="1:11">
      <c r="A153" s="99" t="s">
        <v>1147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234</v>
      </c>
      <c r="H153" s="99">
        <f t="shared" si="15"/>
        <v>1</v>
      </c>
      <c r="I153" s="99">
        <f t="shared" si="13"/>
        <v>31475271</v>
      </c>
      <c r="J153" s="99">
        <f t="shared" si="16"/>
        <v>9583290</v>
      </c>
      <c r="K153" s="99">
        <f t="shared" si="17"/>
        <v>21891981</v>
      </c>
    </row>
    <row r="154" spans="1:11">
      <c r="A154" s="99" t="s">
        <v>1158</v>
      </c>
      <c r="B154" s="18">
        <v>6824082</v>
      </c>
      <c r="C154" s="18">
        <v>6824082</v>
      </c>
      <c r="D154" s="18">
        <f t="shared" si="18"/>
        <v>0</v>
      </c>
      <c r="E154" s="99" t="s">
        <v>1159</v>
      </c>
      <c r="F154" s="99">
        <v>5</v>
      </c>
      <c r="G154" s="36">
        <f t="shared" si="14"/>
        <v>231</v>
      </c>
      <c r="H154" s="99">
        <f t="shared" si="15"/>
        <v>1</v>
      </c>
      <c r="I154" s="99">
        <f t="shared" si="13"/>
        <v>1569538860</v>
      </c>
      <c r="J154" s="99">
        <f t="shared" si="16"/>
        <v>1569538860</v>
      </c>
      <c r="K154" s="99">
        <f t="shared" si="17"/>
        <v>0</v>
      </c>
    </row>
    <row r="155" spans="1:11">
      <c r="A155" s="99" t="s">
        <v>1177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226</v>
      </c>
      <c r="H155" s="99">
        <f t="shared" si="15"/>
        <v>0</v>
      </c>
      <c r="I155" s="99">
        <f t="shared" si="13"/>
        <v>-45200000</v>
      </c>
      <c r="J155" s="99">
        <f t="shared" si="16"/>
        <v>0</v>
      </c>
      <c r="K155" s="99">
        <f t="shared" si="17"/>
        <v>-45200000</v>
      </c>
    </row>
    <row r="156" spans="1:11">
      <c r="A156" s="99" t="s">
        <v>1177</v>
      </c>
      <c r="B156" s="18">
        <v>-247840</v>
      </c>
      <c r="C156" s="18">
        <v>0</v>
      </c>
      <c r="D156" s="18">
        <f t="shared" si="18"/>
        <v>-247840</v>
      </c>
      <c r="E156" s="99" t="s">
        <v>1179</v>
      </c>
      <c r="F156" s="99">
        <v>1</v>
      </c>
      <c r="G156" s="36">
        <f t="shared" si="14"/>
        <v>226</v>
      </c>
      <c r="H156" s="99">
        <f t="shared" si="15"/>
        <v>0</v>
      </c>
      <c r="I156" s="99">
        <f t="shared" si="13"/>
        <v>-56011840</v>
      </c>
      <c r="J156" s="99">
        <f t="shared" si="16"/>
        <v>0</v>
      </c>
      <c r="K156" s="99">
        <f t="shared" si="17"/>
        <v>-56011840</v>
      </c>
    </row>
    <row r="157" spans="1:11">
      <c r="A157" s="99" t="s">
        <v>1183</v>
      </c>
      <c r="B157" s="18">
        <v>-162340</v>
      </c>
      <c r="C157" s="18">
        <v>0</v>
      </c>
      <c r="D157" s="18">
        <f t="shared" si="18"/>
        <v>-162340</v>
      </c>
      <c r="E157" s="99" t="s">
        <v>1184</v>
      </c>
      <c r="F157" s="99">
        <v>0</v>
      </c>
      <c r="G157" s="36">
        <f t="shared" si="14"/>
        <v>225</v>
      </c>
      <c r="H157" s="99">
        <f t="shared" si="15"/>
        <v>0</v>
      </c>
      <c r="I157" s="99">
        <f t="shared" si="13"/>
        <v>-36526500</v>
      </c>
      <c r="J157" s="99">
        <f t="shared" si="16"/>
        <v>0</v>
      </c>
      <c r="K157" s="99">
        <f t="shared" si="17"/>
        <v>-36526500</v>
      </c>
    </row>
    <row r="158" spans="1:11">
      <c r="A158" s="99" t="s">
        <v>1183</v>
      </c>
      <c r="B158" s="18">
        <v>-3000900</v>
      </c>
      <c r="C158" s="18">
        <v>0</v>
      </c>
      <c r="D158" s="18">
        <f t="shared" si="18"/>
        <v>-3000900</v>
      </c>
      <c r="E158" s="99" t="s">
        <v>1185</v>
      </c>
      <c r="F158" s="99">
        <v>2</v>
      </c>
      <c r="G158" s="36">
        <f t="shared" si="14"/>
        <v>225</v>
      </c>
      <c r="H158" s="99">
        <f t="shared" si="15"/>
        <v>0</v>
      </c>
      <c r="I158" s="99">
        <f t="shared" si="13"/>
        <v>-675202500</v>
      </c>
      <c r="J158" s="99">
        <f t="shared" si="16"/>
        <v>0</v>
      </c>
      <c r="K158" s="99">
        <f t="shared" si="17"/>
        <v>-675202500</v>
      </c>
    </row>
    <row r="159" spans="1:11">
      <c r="A159" s="99" t="s">
        <v>1199</v>
      </c>
      <c r="B159" s="18">
        <v>-1000500</v>
      </c>
      <c r="C159" s="18">
        <v>0</v>
      </c>
      <c r="D159" s="18">
        <f t="shared" si="18"/>
        <v>-1000500</v>
      </c>
      <c r="E159" s="99" t="s">
        <v>1200</v>
      </c>
      <c r="F159" s="99">
        <v>4</v>
      </c>
      <c r="G159" s="36">
        <f t="shared" si="14"/>
        <v>223</v>
      </c>
      <c r="H159" s="99">
        <f t="shared" si="15"/>
        <v>0</v>
      </c>
      <c r="I159" s="99">
        <f t="shared" si="13"/>
        <v>-223111500</v>
      </c>
      <c r="J159" s="99">
        <f t="shared" si="16"/>
        <v>0</v>
      </c>
      <c r="K159" s="99">
        <f t="shared" si="17"/>
        <v>-223111500</v>
      </c>
    </row>
    <row r="160" spans="1:11">
      <c r="A160" s="99" t="s">
        <v>1211</v>
      </c>
      <c r="B160" s="18">
        <v>-100000</v>
      </c>
      <c r="C160" s="18">
        <v>0</v>
      </c>
      <c r="D160" s="18">
        <f t="shared" si="18"/>
        <v>-100000</v>
      </c>
      <c r="E160" s="99" t="s">
        <v>1212</v>
      </c>
      <c r="F160" s="99">
        <v>1</v>
      </c>
      <c r="G160" s="36">
        <f t="shared" si="14"/>
        <v>219</v>
      </c>
      <c r="H160" s="99">
        <f t="shared" si="15"/>
        <v>0</v>
      </c>
      <c r="I160" s="99">
        <f t="shared" si="13"/>
        <v>-21900000</v>
      </c>
      <c r="J160" s="99">
        <f t="shared" si="16"/>
        <v>0</v>
      </c>
      <c r="K160" s="99">
        <f t="shared" si="17"/>
        <v>-21900000</v>
      </c>
    </row>
    <row r="161" spans="1:13">
      <c r="A161" s="99" t="s">
        <v>1215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218</v>
      </c>
      <c r="H161" s="99">
        <f t="shared" si="15"/>
        <v>0</v>
      </c>
      <c r="I161" s="99">
        <f t="shared" si="13"/>
        <v>-436000000</v>
      </c>
      <c r="J161" s="99">
        <f t="shared" si="16"/>
        <v>0</v>
      </c>
      <c r="K161" s="99">
        <f t="shared" si="17"/>
        <v>-436000000</v>
      </c>
    </row>
    <row r="162" spans="1:13">
      <c r="A162" s="99" t="s">
        <v>1215</v>
      </c>
      <c r="B162" s="18">
        <v>-1000500</v>
      </c>
      <c r="C162" s="18">
        <v>0</v>
      </c>
      <c r="D162" s="18">
        <f t="shared" si="18"/>
        <v>-1000500</v>
      </c>
      <c r="E162" s="99" t="s">
        <v>1222</v>
      </c>
      <c r="F162" s="99">
        <v>3</v>
      </c>
      <c r="G162" s="36">
        <f t="shared" si="14"/>
        <v>218</v>
      </c>
      <c r="H162" s="99">
        <f t="shared" si="15"/>
        <v>0</v>
      </c>
      <c r="I162" s="99">
        <f t="shared" si="13"/>
        <v>-218109000</v>
      </c>
      <c r="J162" s="99">
        <f t="shared" si="16"/>
        <v>0</v>
      </c>
      <c r="K162" s="99">
        <f t="shared" si="17"/>
        <v>-218109000</v>
      </c>
    </row>
    <row r="163" spans="1:13">
      <c r="A163" s="99" t="s">
        <v>1225</v>
      </c>
      <c r="B163" s="18">
        <v>-5000</v>
      </c>
      <c r="C163" s="18">
        <v>0</v>
      </c>
      <c r="D163" s="18">
        <f t="shared" si="18"/>
        <v>-5000</v>
      </c>
      <c r="E163" s="99" t="s">
        <v>1212</v>
      </c>
      <c r="F163" s="99">
        <v>10</v>
      </c>
      <c r="G163" s="36">
        <f t="shared" si="14"/>
        <v>215</v>
      </c>
      <c r="H163" s="99">
        <f t="shared" si="15"/>
        <v>0</v>
      </c>
      <c r="I163" s="99">
        <f t="shared" si="13"/>
        <v>-1075000</v>
      </c>
      <c r="J163" s="99">
        <f t="shared" si="16"/>
        <v>0</v>
      </c>
      <c r="K163" s="99">
        <f t="shared" si="17"/>
        <v>-1075000</v>
      </c>
    </row>
    <row r="164" spans="1:13">
      <c r="A164" s="99" t="s">
        <v>3668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205</v>
      </c>
      <c r="H164" s="99">
        <f t="shared" si="15"/>
        <v>1</v>
      </c>
      <c r="I164" s="99">
        <f t="shared" si="13"/>
        <v>612000000</v>
      </c>
      <c r="J164" s="99">
        <f t="shared" si="16"/>
        <v>0</v>
      </c>
      <c r="K164" s="99">
        <f t="shared" si="17"/>
        <v>612000000</v>
      </c>
    </row>
    <row r="165" spans="1:13">
      <c r="A165" s="99" t="s">
        <v>3672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204</v>
      </c>
      <c r="H165" s="99">
        <f t="shared" si="15"/>
        <v>1</v>
      </c>
      <c r="I165" s="99">
        <f t="shared" si="13"/>
        <v>609000000</v>
      </c>
      <c r="J165" s="99">
        <f t="shared" si="16"/>
        <v>0</v>
      </c>
      <c r="K165" s="99">
        <f t="shared" si="17"/>
        <v>609000000</v>
      </c>
    </row>
    <row r="166" spans="1:13">
      <c r="A166" s="99" t="s">
        <v>3674</v>
      </c>
      <c r="B166" s="18">
        <v>20314</v>
      </c>
      <c r="C166" s="18">
        <v>59842</v>
      </c>
      <c r="D166" s="18">
        <f t="shared" si="18"/>
        <v>-39528</v>
      </c>
      <c r="E166" s="99" t="s">
        <v>3677</v>
      </c>
      <c r="F166" s="99">
        <v>5</v>
      </c>
      <c r="G166" s="36">
        <f t="shared" si="14"/>
        <v>203</v>
      </c>
      <c r="H166" s="99">
        <f t="shared" si="15"/>
        <v>1</v>
      </c>
      <c r="I166" s="99">
        <f t="shared" si="13"/>
        <v>4103428</v>
      </c>
      <c r="J166" s="99">
        <f t="shared" si="16"/>
        <v>12088084</v>
      </c>
      <c r="K166" s="99">
        <f t="shared" si="17"/>
        <v>-7984656</v>
      </c>
    </row>
    <row r="167" spans="1:13">
      <c r="A167" s="99" t="s">
        <v>3697</v>
      </c>
      <c r="B167" s="18">
        <v>-3000900</v>
      </c>
      <c r="C167" s="18">
        <v>0</v>
      </c>
      <c r="D167" s="18">
        <f t="shared" si="18"/>
        <v>-3000900</v>
      </c>
      <c r="E167" s="99" t="s">
        <v>3698</v>
      </c>
      <c r="F167" s="99">
        <v>18</v>
      </c>
      <c r="G167" s="36">
        <f t="shared" si="14"/>
        <v>198</v>
      </c>
      <c r="H167" s="99">
        <f t="shared" si="15"/>
        <v>0</v>
      </c>
      <c r="I167" s="99">
        <f t="shared" si="13"/>
        <v>-594178200</v>
      </c>
      <c r="J167" s="99">
        <f t="shared" si="16"/>
        <v>0</v>
      </c>
      <c r="K167" s="99">
        <f t="shared" si="17"/>
        <v>-594178200</v>
      </c>
    </row>
    <row r="168" spans="1:13">
      <c r="A168" s="99" t="s">
        <v>3774</v>
      </c>
      <c r="B168" s="18">
        <v>-3000900</v>
      </c>
      <c r="C168" s="18">
        <v>0</v>
      </c>
      <c r="D168" s="18">
        <f t="shared" si="18"/>
        <v>-3000900</v>
      </c>
      <c r="E168" s="99" t="s">
        <v>3775</v>
      </c>
      <c r="F168" s="99">
        <v>8</v>
      </c>
      <c r="G168" s="36">
        <f t="shared" si="14"/>
        <v>180</v>
      </c>
      <c r="H168" s="99">
        <f t="shared" si="15"/>
        <v>0</v>
      </c>
      <c r="I168" s="99">
        <f t="shared" si="13"/>
        <v>-540162000</v>
      </c>
      <c r="J168" s="99">
        <f t="shared" si="16"/>
        <v>0</v>
      </c>
      <c r="K168" s="99">
        <f t="shared" si="17"/>
        <v>-540162000</v>
      </c>
      <c r="M168" t="s">
        <v>25</v>
      </c>
    </row>
    <row r="169" spans="1:13">
      <c r="A169" s="99" t="s">
        <v>3806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172</v>
      </c>
      <c r="H169" s="99">
        <f t="shared" si="15"/>
        <v>1</v>
      </c>
      <c r="I169" s="99">
        <f t="shared" si="13"/>
        <v>3711555</v>
      </c>
      <c r="J169" s="99">
        <f t="shared" si="16"/>
        <v>11716065</v>
      </c>
      <c r="K169" s="99">
        <f t="shared" si="17"/>
        <v>-8004510</v>
      </c>
    </row>
    <row r="170" spans="1:13">
      <c r="A170" s="99" t="s">
        <v>3928</v>
      </c>
      <c r="B170" s="18">
        <v>5000000</v>
      </c>
      <c r="C170" s="18">
        <v>0</v>
      </c>
      <c r="D170" s="18">
        <f t="shared" si="18"/>
        <v>5000000</v>
      </c>
      <c r="E170" s="99" t="s">
        <v>3893</v>
      </c>
      <c r="F170" s="99">
        <v>1</v>
      </c>
      <c r="G170" s="36">
        <f t="shared" si="14"/>
        <v>148</v>
      </c>
      <c r="H170" s="99">
        <f t="shared" si="15"/>
        <v>1</v>
      </c>
      <c r="I170" s="99">
        <f t="shared" si="13"/>
        <v>735000000</v>
      </c>
      <c r="J170" s="99">
        <f t="shared" si="16"/>
        <v>0</v>
      </c>
      <c r="K170" s="99">
        <f t="shared" si="17"/>
        <v>735000000</v>
      </c>
    </row>
    <row r="171" spans="1:13">
      <c r="A171" s="99" t="s">
        <v>3933</v>
      </c>
      <c r="B171" s="18">
        <v>-5000000</v>
      </c>
      <c r="C171" s="18">
        <v>0</v>
      </c>
      <c r="D171" s="18">
        <f t="shared" si="18"/>
        <v>-5000000</v>
      </c>
      <c r="E171" s="99" t="s">
        <v>3934</v>
      </c>
      <c r="F171" s="99">
        <v>6</v>
      </c>
      <c r="G171" s="36">
        <f t="shared" si="14"/>
        <v>147</v>
      </c>
      <c r="H171" s="99">
        <f t="shared" si="15"/>
        <v>0</v>
      </c>
      <c r="I171" s="99">
        <f t="shared" si="13"/>
        <v>-735000000</v>
      </c>
      <c r="J171" s="99">
        <f t="shared" si="16"/>
        <v>0</v>
      </c>
      <c r="K171" s="99">
        <f t="shared" si="17"/>
        <v>-735000000</v>
      </c>
    </row>
    <row r="172" spans="1:13">
      <c r="A172" s="99" t="s">
        <v>3957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141</v>
      </c>
      <c r="H172" s="99">
        <f t="shared" si="15"/>
        <v>1</v>
      </c>
      <c r="I172" s="99">
        <f t="shared" si="13"/>
        <v>69440</v>
      </c>
      <c r="J172" s="99">
        <f t="shared" si="16"/>
        <v>8775340</v>
      </c>
      <c r="K172" s="99">
        <f t="shared" si="17"/>
        <v>-8705900</v>
      </c>
    </row>
    <row r="173" spans="1:13">
      <c r="A173" s="99" t="s">
        <v>3982</v>
      </c>
      <c r="B173" s="18">
        <v>785000</v>
      </c>
      <c r="C173" s="18">
        <v>0</v>
      </c>
      <c r="D173" s="18">
        <f t="shared" si="18"/>
        <v>785000</v>
      </c>
      <c r="E173" s="99" t="s">
        <v>3983</v>
      </c>
      <c r="F173" s="99">
        <v>11</v>
      </c>
      <c r="G173" s="36">
        <f t="shared" si="14"/>
        <v>140</v>
      </c>
      <c r="H173" s="99">
        <f t="shared" si="15"/>
        <v>1</v>
      </c>
      <c r="I173" s="99">
        <f t="shared" si="13"/>
        <v>109115000</v>
      </c>
      <c r="J173" s="99">
        <f t="shared" si="16"/>
        <v>0</v>
      </c>
      <c r="K173" s="99">
        <f t="shared" si="17"/>
        <v>109115000</v>
      </c>
    </row>
    <row r="174" spans="1:13">
      <c r="A174" s="11" t="s">
        <v>3982</v>
      </c>
      <c r="B174" s="18">
        <v>-32000</v>
      </c>
      <c r="C174" s="18">
        <v>0</v>
      </c>
      <c r="D174" s="18">
        <f t="shared" si="18"/>
        <v>-32000</v>
      </c>
      <c r="E174" s="11" t="s">
        <v>3965</v>
      </c>
      <c r="F174" s="11">
        <v>2</v>
      </c>
      <c r="G174" s="36">
        <f t="shared" si="14"/>
        <v>129</v>
      </c>
      <c r="H174" s="99">
        <f t="shared" si="15"/>
        <v>0</v>
      </c>
      <c r="I174" s="99">
        <f t="shared" si="13"/>
        <v>-4128000</v>
      </c>
      <c r="J174" s="99">
        <f t="shared" si="16"/>
        <v>0</v>
      </c>
      <c r="K174" s="99">
        <f t="shared" si="17"/>
        <v>-4128000</v>
      </c>
    </row>
    <row r="175" spans="1:13">
      <c r="A175" s="99" t="s">
        <v>3984</v>
      </c>
      <c r="B175" s="18">
        <v>-750000</v>
      </c>
      <c r="C175" s="18">
        <v>0</v>
      </c>
      <c r="D175" s="18">
        <f t="shared" si="18"/>
        <v>-750000</v>
      </c>
      <c r="E175" s="99" t="s">
        <v>3772</v>
      </c>
      <c r="F175" s="99">
        <v>9</v>
      </c>
      <c r="G175" s="36">
        <f t="shared" si="14"/>
        <v>127</v>
      </c>
      <c r="H175" s="99">
        <f t="shared" si="15"/>
        <v>0</v>
      </c>
      <c r="I175" s="99">
        <f t="shared" si="13"/>
        <v>-95250000</v>
      </c>
      <c r="J175" s="99">
        <f t="shared" si="16"/>
        <v>0</v>
      </c>
      <c r="K175" s="99">
        <f t="shared" si="17"/>
        <v>-95250000</v>
      </c>
    </row>
    <row r="176" spans="1:13">
      <c r="A176" s="99" t="s">
        <v>4016</v>
      </c>
      <c r="B176" s="18">
        <v>-9396</v>
      </c>
      <c r="C176" s="18">
        <v>0</v>
      </c>
      <c r="D176" s="18">
        <f t="shared" si="18"/>
        <v>-9396</v>
      </c>
      <c r="E176" s="99" t="s">
        <v>4017</v>
      </c>
      <c r="F176" s="99">
        <v>1</v>
      </c>
      <c r="G176" s="36">
        <f t="shared" si="14"/>
        <v>118</v>
      </c>
      <c r="H176" s="99">
        <f t="shared" si="15"/>
        <v>0</v>
      </c>
      <c r="I176" s="99">
        <f t="shared" si="13"/>
        <v>-1108728</v>
      </c>
      <c r="J176" s="99">
        <f t="shared" si="16"/>
        <v>0</v>
      </c>
      <c r="K176" s="99">
        <f t="shared" si="17"/>
        <v>-1108728</v>
      </c>
    </row>
    <row r="177" spans="1:14">
      <c r="A177" s="99" t="s">
        <v>4020</v>
      </c>
      <c r="B177" s="18">
        <v>-43300</v>
      </c>
      <c r="C177" s="18">
        <v>0</v>
      </c>
      <c r="D177" s="18">
        <f t="shared" si="18"/>
        <v>-43300</v>
      </c>
      <c r="E177" s="99" t="s">
        <v>4022</v>
      </c>
      <c r="F177" s="99">
        <v>3</v>
      </c>
      <c r="G177" s="36">
        <f t="shared" si="14"/>
        <v>117</v>
      </c>
      <c r="H177" s="99">
        <f t="shared" si="15"/>
        <v>0</v>
      </c>
      <c r="I177" s="99">
        <f t="shared" si="13"/>
        <v>-5066100</v>
      </c>
      <c r="J177" s="99">
        <f t="shared" si="16"/>
        <v>0</v>
      </c>
      <c r="K177" s="99">
        <f t="shared" si="17"/>
        <v>-5066100</v>
      </c>
    </row>
    <row r="178" spans="1:14">
      <c r="A178" s="99" t="s">
        <v>3689</v>
      </c>
      <c r="B178" s="18">
        <v>360000</v>
      </c>
      <c r="C178" s="18">
        <v>0</v>
      </c>
      <c r="D178" s="18">
        <f t="shared" si="18"/>
        <v>360000</v>
      </c>
      <c r="E178" s="99" t="s">
        <v>4033</v>
      </c>
      <c r="F178" s="99">
        <v>2</v>
      </c>
      <c r="G178" s="36">
        <f t="shared" si="14"/>
        <v>114</v>
      </c>
      <c r="H178" s="99">
        <f t="shared" si="15"/>
        <v>1</v>
      </c>
      <c r="I178" s="99">
        <f t="shared" si="13"/>
        <v>40680000</v>
      </c>
      <c r="J178" s="99">
        <f t="shared" si="16"/>
        <v>0</v>
      </c>
      <c r="K178" s="99">
        <f t="shared" si="17"/>
        <v>40680000</v>
      </c>
    </row>
    <row r="179" spans="1:14">
      <c r="A179" s="99" t="s">
        <v>4035</v>
      </c>
      <c r="B179" s="18">
        <v>3000000</v>
      </c>
      <c r="C179" s="18">
        <v>0</v>
      </c>
      <c r="D179" s="18">
        <f t="shared" si="18"/>
        <v>3000000</v>
      </c>
      <c r="E179" s="99" t="s">
        <v>4036</v>
      </c>
      <c r="F179" s="99">
        <v>0</v>
      </c>
      <c r="G179" s="36">
        <f t="shared" si="14"/>
        <v>112</v>
      </c>
      <c r="H179" s="99">
        <f t="shared" si="15"/>
        <v>1</v>
      </c>
      <c r="I179" s="99">
        <f t="shared" si="13"/>
        <v>333000000</v>
      </c>
      <c r="J179" s="99">
        <f t="shared" si="16"/>
        <v>0</v>
      </c>
      <c r="K179" s="99">
        <f t="shared" si="17"/>
        <v>333000000</v>
      </c>
    </row>
    <row r="180" spans="1:14">
      <c r="A180" s="99" t="s">
        <v>4035</v>
      </c>
      <c r="B180" s="18">
        <v>-12050</v>
      </c>
      <c r="C180" s="18">
        <v>0</v>
      </c>
      <c r="D180" s="18">
        <f t="shared" si="18"/>
        <v>-12050</v>
      </c>
      <c r="E180" s="99" t="s">
        <v>4017</v>
      </c>
      <c r="F180" s="99">
        <v>2</v>
      </c>
      <c r="G180" s="36">
        <f t="shared" si="14"/>
        <v>112</v>
      </c>
      <c r="H180" s="99">
        <f t="shared" si="15"/>
        <v>0</v>
      </c>
      <c r="I180" s="99">
        <f t="shared" si="13"/>
        <v>-1349600</v>
      </c>
      <c r="J180" s="99">
        <f t="shared" si="16"/>
        <v>0</v>
      </c>
      <c r="K180" s="99">
        <f t="shared" si="17"/>
        <v>-1349600</v>
      </c>
    </row>
    <row r="181" spans="1:14">
      <c r="A181" s="99" t="s">
        <v>4040</v>
      </c>
      <c r="B181" s="18">
        <v>3000000</v>
      </c>
      <c r="C181" s="18">
        <v>0</v>
      </c>
      <c r="D181" s="18">
        <f t="shared" si="18"/>
        <v>3000000</v>
      </c>
      <c r="E181" s="99" t="s">
        <v>4041</v>
      </c>
      <c r="F181" s="99">
        <v>2</v>
      </c>
      <c r="G181" s="36">
        <f t="shared" si="14"/>
        <v>110</v>
      </c>
      <c r="H181" s="99">
        <f t="shared" si="15"/>
        <v>1</v>
      </c>
      <c r="I181" s="99">
        <f t="shared" si="13"/>
        <v>327000000</v>
      </c>
      <c r="J181" s="99">
        <f t="shared" si="16"/>
        <v>0</v>
      </c>
      <c r="K181" s="99">
        <f t="shared" si="17"/>
        <v>327000000</v>
      </c>
    </row>
    <row r="182" spans="1:14">
      <c r="A182" s="99" t="s">
        <v>4048</v>
      </c>
      <c r="B182" s="18">
        <v>-35800</v>
      </c>
      <c r="C182" s="18">
        <v>0</v>
      </c>
      <c r="D182" s="18">
        <f t="shared" si="18"/>
        <v>-35800</v>
      </c>
      <c r="E182" s="99" t="s">
        <v>4049</v>
      </c>
      <c r="F182" s="99">
        <v>1</v>
      </c>
      <c r="G182" s="36">
        <f t="shared" si="14"/>
        <v>108</v>
      </c>
      <c r="H182" s="99">
        <f t="shared" si="15"/>
        <v>0</v>
      </c>
      <c r="I182" s="99">
        <f t="shared" si="13"/>
        <v>-3866400</v>
      </c>
      <c r="J182" s="99">
        <f t="shared" si="16"/>
        <v>0</v>
      </c>
      <c r="K182" s="99">
        <f t="shared" si="17"/>
        <v>-3866400</v>
      </c>
      <c r="N182" t="s">
        <v>25</v>
      </c>
    </row>
    <row r="183" spans="1:14">
      <c r="A183" s="99" t="s">
        <v>4047</v>
      </c>
      <c r="B183" s="18">
        <v>3600000</v>
      </c>
      <c r="C183" s="18">
        <v>0</v>
      </c>
      <c r="D183" s="18">
        <f t="shared" si="18"/>
        <v>3600000</v>
      </c>
      <c r="E183" s="99" t="s">
        <v>4050</v>
      </c>
      <c r="F183" s="99">
        <v>0</v>
      </c>
      <c r="G183" s="36">
        <f t="shared" si="14"/>
        <v>107</v>
      </c>
      <c r="H183" s="99">
        <f t="shared" si="15"/>
        <v>1</v>
      </c>
      <c r="I183" s="99">
        <f t="shared" si="13"/>
        <v>381600000</v>
      </c>
      <c r="J183" s="99">
        <f t="shared" si="16"/>
        <v>0</v>
      </c>
      <c r="K183" s="99">
        <f t="shared" si="17"/>
        <v>381600000</v>
      </c>
    </row>
    <row r="184" spans="1:14">
      <c r="A184" s="99" t="s">
        <v>4047</v>
      </c>
      <c r="B184" s="18">
        <v>-33377</v>
      </c>
      <c r="C184" s="18">
        <v>0</v>
      </c>
      <c r="D184" s="18">
        <f t="shared" si="18"/>
        <v>-33377</v>
      </c>
      <c r="E184" s="99" t="s">
        <v>4051</v>
      </c>
      <c r="F184" s="99">
        <v>3</v>
      </c>
      <c r="G184" s="36">
        <f t="shared" si="14"/>
        <v>107</v>
      </c>
      <c r="H184" s="99">
        <f t="shared" si="15"/>
        <v>0</v>
      </c>
      <c r="I184" s="99">
        <f t="shared" si="13"/>
        <v>-3571339</v>
      </c>
      <c r="J184" s="99">
        <f t="shared" si="16"/>
        <v>0</v>
      </c>
      <c r="K184" s="99">
        <f t="shared" si="17"/>
        <v>-3571339</v>
      </c>
    </row>
    <row r="185" spans="1:14">
      <c r="A185" s="99" t="s">
        <v>4070</v>
      </c>
      <c r="B185" s="18">
        <v>-9800000</v>
      </c>
      <c r="C185" s="18">
        <v>0</v>
      </c>
      <c r="D185" s="18">
        <f t="shared" si="18"/>
        <v>-9800000</v>
      </c>
      <c r="E185" s="99" t="s">
        <v>1219</v>
      </c>
      <c r="F185" s="99">
        <v>0</v>
      </c>
      <c r="G185" s="36">
        <f t="shared" si="14"/>
        <v>104</v>
      </c>
      <c r="H185" s="99">
        <f t="shared" si="15"/>
        <v>0</v>
      </c>
      <c r="I185" s="99">
        <f t="shared" si="13"/>
        <v>-1019200000</v>
      </c>
      <c r="J185" s="99">
        <f t="shared" si="16"/>
        <v>0</v>
      </c>
      <c r="K185" s="99">
        <f t="shared" si="17"/>
        <v>-1019200000</v>
      </c>
    </row>
    <row r="186" spans="1:14">
      <c r="A186" s="99" t="s">
        <v>4070</v>
      </c>
      <c r="B186" s="18">
        <v>18000000</v>
      </c>
      <c r="C186" s="18">
        <v>0</v>
      </c>
      <c r="D186" s="18">
        <f t="shared" si="18"/>
        <v>18000000</v>
      </c>
      <c r="E186" s="99" t="s">
        <v>4072</v>
      </c>
      <c r="F186" s="99">
        <v>0</v>
      </c>
      <c r="G186" s="36">
        <f t="shared" si="14"/>
        <v>104</v>
      </c>
      <c r="H186" s="99">
        <f t="shared" si="15"/>
        <v>1</v>
      </c>
      <c r="I186" s="99">
        <f t="shared" si="13"/>
        <v>1854000000</v>
      </c>
      <c r="J186" s="99">
        <f t="shared" si="16"/>
        <v>0</v>
      </c>
      <c r="K186" s="99">
        <f t="shared" si="17"/>
        <v>1854000000</v>
      </c>
    </row>
    <row r="187" spans="1:14">
      <c r="A187" s="99" t="s">
        <v>4070</v>
      </c>
      <c r="B187" s="18">
        <v>-9000000</v>
      </c>
      <c r="C187" s="18">
        <v>0</v>
      </c>
      <c r="D187" s="18">
        <f t="shared" si="18"/>
        <v>-9000000</v>
      </c>
      <c r="E187" s="99" t="s">
        <v>1219</v>
      </c>
      <c r="F187" s="99">
        <v>0</v>
      </c>
      <c r="G187" s="36">
        <f t="shared" si="14"/>
        <v>104</v>
      </c>
      <c r="H187" s="99">
        <f t="shared" si="15"/>
        <v>0</v>
      </c>
      <c r="I187" s="99">
        <f t="shared" si="13"/>
        <v>-936000000</v>
      </c>
      <c r="J187" s="99">
        <f t="shared" si="16"/>
        <v>0</v>
      </c>
      <c r="K187" s="99">
        <f t="shared" si="17"/>
        <v>-936000000</v>
      </c>
    </row>
    <row r="188" spans="1:14">
      <c r="A188" s="99" t="s">
        <v>4070</v>
      </c>
      <c r="B188" s="18">
        <v>-11600</v>
      </c>
      <c r="C188" s="18">
        <v>0</v>
      </c>
      <c r="D188" s="18">
        <f t="shared" si="18"/>
        <v>-11600</v>
      </c>
      <c r="E188" s="99" t="s">
        <v>3944</v>
      </c>
      <c r="F188" s="99">
        <v>0</v>
      </c>
      <c r="G188" s="36">
        <f t="shared" si="14"/>
        <v>104</v>
      </c>
      <c r="H188" s="99">
        <f t="shared" si="15"/>
        <v>0</v>
      </c>
      <c r="I188" s="99">
        <f t="shared" si="13"/>
        <v>-1206400</v>
      </c>
      <c r="J188" s="99">
        <f t="shared" si="16"/>
        <v>0</v>
      </c>
      <c r="K188" s="99">
        <f t="shared" si="17"/>
        <v>-1206400</v>
      </c>
    </row>
    <row r="189" spans="1:14">
      <c r="A189" s="99" t="s">
        <v>4070</v>
      </c>
      <c r="B189" s="18">
        <v>-3304327</v>
      </c>
      <c r="C189" s="18">
        <v>0</v>
      </c>
      <c r="D189" s="18">
        <f t="shared" si="18"/>
        <v>-3304327</v>
      </c>
      <c r="E189" s="99" t="s">
        <v>4073</v>
      </c>
      <c r="F189" s="99">
        <v>1</v>
      </c>
      <c r="G189" s="36">
        <f t="shared" si="14"/>
        <v>104</v>
      </c>
      <c r="H189" s="99">
        <f t="shared" si="15"/>
        <v>0</v>
      </c>
      <c r="I189" s="99">
        <f t="shared" si="13"/>
        <v>-343650008</v>
      </c>
      <c r="J189" s="99">
        <f t="shared" si="16"/>
        <v>0</v>
      </c>
      <c r="K189" s="99">
        <f t="shared" si="17"/>
        <v>-343650008</v>
      </c>
    </row>
    <row r="190" spans="1:14">
      <c r="A190" s="99" t="s">
        <v>4079</v>
      </c>
      <c r="B190" s="18">
        <v>-3000900</v>
      </c>
      <c r="C190" s="18">
        <v>0</v>
      </c>
      <c r="D190" s="18">
        <f t="shared" si="18"/>
        <v>-3000900</v>
      </c>
      <c r="E190" s="99" t="s">
        <v>4080</v>
      </c>
      <c r="F190" s="99">
        <v>1</v>
      </c>
      <c r="G190" s="36">
        <f t="shared" si="14"/>
        <v>103</v>
      </c>
      <c r="H190" s="99">
        <f t="shared" si="15"/>
        <v>0</v>
      </c>
      <c r="I190" s="99">
        <f t="shared" si="13"/>
        <v>-309092700</v>
      </c>
      <c r="J190" s="99">
        <f t="shared" si="16"/>
        <v>0</v>
      </c>
      <c r="K190" s="99">
        <f t="shared" si="17"/>
        <v>-309092700</v>
      </c>
    </row>
    <row r="191" spans="1:14">
      <c r="A191" s="99" t="s">
        <v>4084</v>
      </c>
      <c r="B191" s="18">
        <v>-2760900</v>
      </c>
      <c r="C191" s="18">
        <v>0</v>
      </c>
      <c r="D191" s="18">
        <f t="shared" si="18"/>
        <v>-2760900</v>
      </c>
      <c r="E191" s="99" t="s">
        <v>4085</v>
      </c>
      <c r="F191" s="99">
        <v>5</v>
      </c>
      <c r="G191" s="36">
        <f t="shared" si="14"/>
        <v>102</v>
      </c>
      <c r="H191" s="99">
        <f t="shared" si="15"/>
        <v>0</v>
      </c>
      <c r="I191" s="99">
        <f t="shared" si="13"/>
        <v>-281611800</v>
      </c>
      <c r="J191" s="99">
        <f t="shared" si="16"/>
        <v>0</v>
      </c>
      <c r="K191" s="99">
        <f t="shared" si="17"/>
        <v>-281611800</v>
      </c>
    </row>
    <row r="192" spans="1:14">
      <c r="A192" s="99" t="s">
        <v>4098</v>
      </c>
      <c r="B192" s="18">
        <v>1000000</v>
      </c>
      <c r="C192" s="18">
        <v>0</v>
      </c>
      <c r="D192" s="18">
        <f t="shared" si="18"/>
        <v>1000000</v>
      </c>
      <c r="E192" s="99" t="s">
        <v>4077</v>
      </c>
      <c r="F192" s="99">
        <v>1</v>
      </c>
      <c r="G192" s="36">
        <f t="shared" si="14"/>
        <v>97</v>
      </c>
      <c r="H192" s="99">
        <f t="shared" si="15"/>
        <v>1</v>
      </c>
      <c r="I192" s="99">
        <f t="shared" si="13"/>
        <v>96000000</v>
      </c>
      <c r="J192" s="99">
        <f t="shared" si="16"/>
        <v>0</v>
      </c>
      <c r="K192" s="99">
        <f t="shared" si="17"/>
        <v>96000000</v>
      </c>
    </row>
    <row r="193" spans="1:11">
      <c r="A193" s="99" t="s">
        <v>4114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96</v>
      </c>
      <c r="H193" s="99">
        <f t="shared" si="15"/>
        <v>0</v>
      </c>
      <c r="I193" s="99">
        <f t="shared" si="13"/>
        <v>-1440000</v>
      </c>
      <c r="J193" s="99">
        <f t="shared" si="16"/>
        <v>0</v>
      </c>
      <c r="K193" s="99">
        <f t="shared" si="17"/>
        <v>-1440000</v>
      </c>
    </row>
    <row r="194" spans="1:11">
      <c r="A194" s="99" t="s">
        <v>4110</v>
      </c>
      <c r="B194" s="18">
        <v>-990000</v>
      </c>
      <c r="C194" s="18">
        <v>0</v>
      </c>
      <c r="D194" s="18">
        <f t="shared" si="18"/>
        <v>-990000</v>
      </c>
      <c r="E194" s="99" t="s">
        <v>3772</v>
      </c>
      <c r="F194" s="99">
        <v>0</v>
      </c>
      <c r="G194" s="36">
        <f t="shared" si="14"/>
        <v>94</v>
      </c>
      <c r="H194" s="99">
        <f t="shared" si="15"/>
        <v>0</v>
      </c>
      <c r="I194" s="99">
        <f t="shared" si="13"/>
        <v>-93060000</v>
      </c>
      <c r="J194" s="99">
        <f t="shared" si="16"/>
        <v>0</v>
      </c>
      <c r="K194" s="99">
        <f t="shared" si="17"/>
        <v>-93060000</v>
      </c>
    </row>
    <row r="195" spans="1:11">
      <c r="A195" s="99" t="s">
        <v>4110</v>
      </c>
      <c r="B195" s="18">
        <v>783000</v>
      </c>
      <c r="C195" s="18">
        <v>0</v>
      </c>
      <c r="D195" s="18">
        <f t="shared" si="18"/>
        <v>783000</v>
      </c>
      <c r="E195" s="99" t="s">
        <v>4117</v>
      </c>
      <c r="F195" s="99">
        <v>2</v>
      </c>
      <c r="G195" s="36">
        <f t="shared" si="14"/>
        <v>94</v>
      </c>
      <c r="H195" s="99">
        <f t="shared" si="15"/>
        <v>1</v>
      </c>
      <c r="I195" s="99">
        <f t="shared" si="13"/>
        <v>72819000</v>
      </c>
      <c r="J195" s="99">
        <f t="shared" si="16"/>
        <v>0</v>
      </c>
      <c r="K195" s="99">
        <f t="shared" si="17"/>
        <v>72819000</v>
      </c>
    </row>
    <row r="196" spans="1:11">
      <c r="A196" s="99" t="s">
        <v>4120</v>
      </c>
      <c r="B196" s="18">
        <v>-750500</v>
      </c>
      <c r="C196" s="18">
        <v>0</v>
      </c>
      <c r="D196" s="18">
        <f t="shared" si="18"/>
        <v>-750500</v>
      </c>
      <c r="E196" s="99" t="s">
        <v>4121</v>
      </c>
      <c r="F196" s="99">
        <v>2</v>
      </c>
      <c r="G196" s="36">
        <f t="shared" si="14"/>
        <v>92</v>
      </c>
      <c r="H196" s="99">
        <f t="shared" si="15"/>
        <v>0</v>
      </c>
      <c r="I196" s="99">
        <f t="shared" si="13"/>
        <v>-69046000</v>
      </c>
      <c r="J196" s="99">
        <f t="shared" si="16"/>
        <v>0</v>
      </c>
      <c r="K196" s="99">
        <f t="shared" si="17"/>
        <v>-69046000</v>
      </c>
    </row>
    <row r="197" spans="1:11">
      <c r="A197" s="99" t="s">
        <v>4133</v>
      </c>
      <c r="B197" s="18">
        <v>700000</v>
      </c>
      <c r="C197" s="18">
        <v>0</v>
      </c>
      <c r="D197" s="18">
        <f t="shared" si="18"/>
        <v>700000</v>
      </c>
      <c r="E197" s="99" t="s">
        <v>3893</v>
      </c>
      <c r="F197" s="99">
        <v>0</v>
      </c>
      <c r="G197" s="36">
        <f t="shared" si="14"/>
        <v>90</v>
      </c>
      <c r="H197" s="99">
        <f t="shared" si="15"/>
        <v>1</v>
      </c>
      <c r="I197" s="99">
        <f t="shared" si="13"/>
        <v>62300000</v>
      </c>
      <c r="J197" s="99">
        <f t="shared" si="16"/>
        <v>0</v>
      </c>
      <c r="K197" s="99">
        <f t="shared" si="17"/>
        <v>62300000</v>
      </c>
    </row>
    <row r="198" spans="1:11">
      <c r="A198" s="99" t="s">
        <v>4133</v>
      </c>
      <c r="B198" s="18">
        <v>-99000</v>
      </c>
      <c r="C198" s="18">
        <v>0</v>
      </c>
      <c r="D198" s="18">
        <f t="shared" si="18"/>
        <v>-99000</v>
      </c>
      <c r="E198" s="99" t="s">
        <v>4135</v>
      </c>
      <c r="F198" s="99">
        <v>1</v>
      </c>
      <c r="G198" s="36">
        <f t="shared" si="14"/>
        <v>90</v>
      </c>
      <c r="H198" s="99">
        <f t="shared" si="15"/>
        <v>0</v>
      </c>
      <c r="I198" s="99">
        <f t="shared" si="13"/>
        <v>-8910000</v>
      </c>
      <c r="J198" s="99">
        <f t="shared" si="16"/>
        <v>0</v>
      </c>
      <c r="K198" s="99">
        <f t="shared" si="17"/>
        <v>-8910000</v>
      </c>
    </row>
    <row r="199" spans="1:11">
      <c r="A199" s="99" t="s">
        <v>4136</v>
      </c>
      <c r="B199" s="18">
        <v>-205750</v>
      </c>
      <c r="C199" s="18">
        <v>0</v>
      </c>
      <c r="D199" s="18">
        <f t="shared" si="18"/>
        <v>-205750</v>
      </c>
      <c r="E199" s="99" t="s">
        <v>4137</v>
      </c>
      <c r="F199" s="99">
        <v>0</v>
      </c>
      <c r="G199" s="36">
        <f t="shared" si="14"/>
        <v>89</v>
      </c>
      <c r="H199" s="99">
        <f t="shared" si="15"/>
        <v>0</v>
      </c>
      <c r="I199" s="99">
        <f t="shared" si="13"/>
        <v>-18311750</v>
      </c>
      <c r="J199" s="99">
        <f t="shared" si="16"/>
        <v>0</v>
      </c>
      <c r="K199" s="99">
        <f t="shared" si="17"/>
        <v>-18311750</v>
      </c>
    </row>
    <row r="200" spans="1:11">
      <c r="A200" s="99" t="s">
        <v>4136</v>
      </c>
      <c r="B200" s="18">
        <v>-95000</v>
      </c>
      <c r="C200" s="18">
        <v>0</v>
      </c>
      <c r="D200" s="18">
        <f t="shared" si="18"/>
        <v>-95000</v>
      </c>
      <c r="E200" s="99" t="s">
        <v>4138</v>
      </c>
      <c r="F200" s="99">
        <v>3</v>
      </c>
      <c r="G200" s="36">
        <f t="shared" si="14"/>
        <v>89</v>
      </c>
      <c r="H200" s="99">
        <f t="shared" si="15"/>
        <v>0</v>
      </c>
      <c r="I200" s="99">
        <f t="shared" si="13"/>
        <v>-8455000</v>
      </c>
      <c r="J200" s="99">
        <f t="shared" si="16"/>
        <v>0</v>
      </c>
      <c r="K200" s="99">
        <f t="shared" si="17"/>
        <v>-8455000</v>
      </c>
    </row>
    <row r="201" spans="1:11">
      <c r="A201" s="99" t="s">
        <v>4154</v>
      </c>
      <c r="B201" s="18">
        <v>48650000</v>
      </c>
      <c r="C201" s="18">
        <v>0</v>
      </c>
      <c r="D201" s="18">
        <f t="shared" si="18"/>
        <v>48650000</v>
      </c>
      <c r="E201" s="99" t="s">
        <v>4155</v>
      </c>
      <c r="F201" s="99">
        <v>0</v>
      </c>
      <c r="G201" s="36">
        <f t="shared" si="14"/>
        <v>86</v>
      </c>
      <c r="H201" s="99">
        <f t="shared" si="15"/>
        <v>1</v>
      </c>
      <c r="I201" s="99">
        <f t="shared" si="13"/>
        <v>4135250000</v>
      </c>
      <c r="J201" s="99">
        <f t="shared" si="16"/>
        <v>0</v>
      </c>
      <c r="K201" s="99">
        <f t="shared" si="17"/>
        <v>4135250000</v>
      </c>
    </row>
    <row r="202" spans="1:11">
      <c r="A202" s="99" t="s">
        <v>4154</v>
      </c>
      <c r="B202" s="18">
        <v>-3000900</v>
      </c>
      <c r="C202" s="18">
        <v>0</v>
      </c>
      <c r="D202" s="18">
        <f t="shared" si="18"/>
        <v>-3000900</v>
      </c>
      <c r="E202" s="99" t="s">
        <v>1222</v>
      </c>
      <c r="F202" s="99">
        <v>0</v>
      </c>
      <c r="G202" s="36">
        <f t="shared" si="14"/>
        <v>86</v>
      </c>
      <c r="H202" s="99">
        <f t="shared" si="15"/>
        <v>0</v>
      </c>
      <c r="I202" s="99">
        <f t="shared" si="13"/>
        <v>-258077400</v>
      </c>
      <c r="J202" s="99">
        <f t="shared" si="16"/>
        <v>0</v>
      </c>
      <c r="K202" s="99">
        <f t="shared" si="17"/>
        <v>-258077400</v>
      </c>
    </row>
    <row r="203" spans="1:11">
      <c r="A203" s="99" t="s">
        <v>4154</v>
      </c>
      <c r="B203" s="18">
        <v>-5000</v>
      </c>
      <c r="C203" s="18">
        <v>0</v>
      </c>
      <c r="D203" s="18">
        <f t="shared" si="18"/>
        <v>-5000</v>
      </c>
      <c r="E203" s="99" t="s">
        <v>4156</v>
      </c>
      <c r="F203" s="99">
        <v>0</v>
      </c>
      <c r="G203" s="36">
        <f t="shared" si="14"/>
        <v>86</v>
      </c>
      <c r="H203" s="99">
        <f t="shared" si="15"/>
        <v>0</v>
      </c>
      <c r="I203" s="99">
        <f t="shared" si="13"/>
        <v>-430000</v>
      </c>
      <c r="J203" s="99">
        <f t="shared" si="16"/>
        <v>0</v>
      </c>
      <c r="K203" s="99">
        <f t="shared" si="17"/>
        <v>-430000</v>
      </c>
    </row>
    <row r="204" spans="1:11">
      <c r="A204" s="99" t="s">
        <v>4154</v>
      </c>
      <c r="B204" s="18">
        <v>-33500000</v>
      </c>
      <c r="C204" s="18">
        <v>0</v>
      </c>
      <c r="D204" s="18">
        <f t="shared" si="18"/>
        <v>-33500000</v>
      </c>
      <c r="E204" s="99" t="s">
        <v>3772</v>
      </c>
      <c r="F204" s="99">
        <v>1</v>
      </c>
      <c r="G204" s="36">
        <f>G205+F204</f>
        <v>86</v>
      </c>
      <c r="H204" s="99">
        <f t="shared" si="15"/>
        <v>0</v>
      </c>
      <c r="I204" s="99">
        <f t="shared" si="13"/>
        <v>-2881000000</v>
      </c>
      <c r="J204" s="99">
        <f t="shared" si="16"/>
        <v>0</v>
      </c>
      <c r="K204" s="99">
        <f t="shared" si="17"/>
        <v>-2881000000</v>
      </c>
    </row>
    <row r="205" spans="1:11">
      <c r="A205" s="11" t="s">
        <v>4159</v>
      </c>
      <c r="B205" s="18">
        <v>-12435000</v>
      </c>
      <c r="C205" s="18">
        <v>0</v>
      </c>
      <c r="D205" s="18">
        <f t="shared" si="18"/>
        <v>-12435000</v>
      </c>
      <c r="E205" s="11" t="s">
        <v>3772</v>
      </c>
      <c r="F205" s="11">
        <v>3</v>
      </c>
      <c r="G205" s="36">
        <f t="shared" ref="G205:G266" si="19">G206+F205</f>
        <v>85</v>
      </c>
      <c r="H205" s="99">
        <f t="shared" si="15"/>
        <v>0</v>
      </c>
      <c r="I205" s="99">
        <f t="shared" si="13"/>
        <v>-1056975000</v>
      </c>
      <c r="J205" s="99">
        <f t="shared" si="16"/>
        <v>0</v>
      </c>
      <c r="K205" s="99">
        <f t="shared" si="17"/>
        <v>-1056975000</v>
      </c>
    </row>
    <row r="206" spans="1:11">
      <c r="A206" s="99" t="s">
        <v>4172</v>
      </c>
      <c r="B206" s="18">
        <v>-18500</v>
      </c>
      <c r="C206" s="18">
        <v>0</v>
      </c>
      <c r="D206" s="18">
        <f t="shared" si="18"/>
        <v>-18500</v>
      </c>
      <c r="E206" s="99" t="s">
        <v>4173</v>
      </c>
      <c r="F206" s="99">
        <v>2</v>
      </c>
      <c r="G206" s="36">
        <f t="shared" si="19"/>
        <v>82</v>
      </c>
      <c r="H206" s="99">
        <f t="shared" si="15"/>
        <v>0</v>
      </c>
      <c r="I206" s="99">
        <f t="shared" si="13"/>
        <v>-1517000</v>
      </c>
      <c r="J206" s="99">
        <f t="shared" si="16"/>
        <v>0</v>
      </c>
      <c r="K206" s="99">
        <f t="shared" si="17"/>
        <v>-1517000</v>
      </c>
    </row>
    <row r="207" spans="1:11">
      <c r="A207" s="99" t="s">
        <v>4169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80</v>
      </c>
      <c r="H207" s="99">
        <f t="shared" si="15"/>
        <v>1</v>
      </c>
      <c r="I207" s="99">
        <f t="shared" si="13"/>
        <v>1143920</v>
      </c>
      <c r="J207" s="99">
        <f t="shared" ref="J207:J266" si="20">C207*(G207-H207)</f>
        <v>5599046</v>
      </c>
      <c r="K207" s="99">
        <f t="shared" si="17"/>
        <v>-4455126</v>
      </c>
    </row>
    <row r="208" spans="1:11">
      <c r="A208" s="99" t="s">
        <v>4175</v>
      </c>
      <c r="B208" s="18">
        <v>830000</v>
      </c>
      <c r="C208" s="18">
        <v>0</v>
      </c>
      <c r="D208" s="18">
        <f t="shared" si="18"/>
        <v>830000</v>
      </c>
      <c r="E208" s="99" t="s">
        <v>4176</v>
      </c>
      <c r="F208" s="99">
        <v>2</v>
      </c>
      <c r="G208" s="36">
        <f t="shared" si="19"/>
        <v>79</v>
      </c>
      <c r="H208" s="99">
        <f t="shared" si="15"/>
        <v>1</v>
      </c>
      <c r="I208" s="99">
        <f t="shared" si="13"/>
        <v>64740000</v>
      </c>
      <c r="J208" s="99">
        <f t="shared" si="20"/>
        <v>0</v>
      </c>
      <c r="K208" s="99">
        <f t="shared" si="17"/>
        <v>64740000</v>
      </c>
    </row>
    <row r="209" spans="1:13">
      <c r="A209" s="99" t="s">
        <v>4192</v>
      </c>
      <c r="B209" s="18">
        <v>-52440</v>
      </c>
      <c r="C209" s="18">
        <v>0</v>
      </c>
      <c r="D209" s="18">
        <f t="shared" si="18"/>
        <v>-52440</v>
      </c>
      <c r="E209" s="99" t="s">
        <v>4194</v>
      </c>
      <c r="F209" s="99">
        <v>1</v>
      </c>
      <c r="G209" s="36">
        <f t="shared" si="19"/>
        <v>77</v>
      </c>
      <c r="H209" s="99">
        <f t="shared" si="15"/>
        <v>0</v>
      </c>
      <c r="I209" s="99">
        <f t="shared" si="13"/>
        <v>-4037880</v>
      </c>
      <c r="J209" s="99">
        <f t="shared" si="20"/>
        <v>0</v>
      </c>
      <c r="K209" s="99">
        <f t="shared" si="17"/>
        <v>-4037880</v>
      </c>
    </row>
    <row r="210" spans="1:13">
      <c r="A210" s="99" t="s">
        <v>4195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76</v>
      </c>
      <c r="H210" s="99">
        <f t="shared" si="15"/>
        <v>0</v>
      </c>
      <c r="I210" s="99">
        <f t="shared" si="13"/>
        <v>-3883600</v>
      </c>
      <c r="J210" s="99">
        <f t="shared" si="20"/>
        <v>0</v>
      </c>
      <c r="K210" s="99">
        <f t="shared" si="17"/>
        <v>-3883600</v>
      </c>
    </row>
    <row r="211" spans="1:13">
      <c r="A211" s="99" t="s">
        <v>4196</v>
      </c>
      <c r="B211" s="18">
        <v>-200000</v>
      </c>
      <c r="C211" s="18">
        <v>0</v>
      </c>
      <c r="D211" s="18">
        <f t="shared" si="18"/>
        <v>-200000</v>
      </c>
      <c r="E211" s="99" t="s">
        <v>4197</v>
      </c>
      <c r="F211" s="99">
        <v>1</v>
      </c>
      <c r="G211" s="36">
        <f t="shared" si="19"/>
        <v>75</v>
      </c>
      <c r="H211" s="99">
        <f t="shared" si="15"/>
        <v>0</v>
      </c>
      <c r="I211" s="99">
        <f t="shared" si="13"/>
        <v>-15000000</v>
      </c>
      <c r="J211" s="99">
        <f t="shared" si="20"/>
        <v>0</v>
      </c>
      <c r="K211" s="99">
        <f t="shared" si="17"/>
        <v>-15000000</v>
      </c>
    </row>
    <row r="212" spans="1:13">
      <c r="A212" s="99" t="s">
        <v>4198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74</v>
      </c>
      <c r="H212" s="99">
        <f t="shared" si="15"/>
        <v>0</v>
      </c>
      <c r="I212" s="99">
        <f t="shared" si="13"/>
        <v>-2072000</v>
      </c>
      <c r="J212" s="99">
        <f t="shared" si="20"/>
        <v>0</v>
      </c>
      <c r="K212" s="99">
        <f t="shared" si="17"/>
        <v>-2072000</v>
      </c>
    </row>
    <row r="213" spans="1:13">
      <c r="A213" s="99" t="s">
        <v>4199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73</v>
      </c>
      <c r="H213" s="99">
        <f t="shared" si="15"/>
        <v>0</v>
      </c>
      <c r="I213" s="99">
        <f t="shared" si="13"/>
        <v>-4314300</v>
      </c>
      <c r="J213" s="99">
        <f t="shared" si="20"/>
        <v>0</v>
      </c>
      <c r="K213" s="99">
        <f t="shared" si="17"/>
        <v>-4314300</v>
      </c>
    </row>
    <row r="214" spans="1:13">
      <c r="A214" s="99" t="s">
        <v>4199</v>
      </c>
      <c r="B214" s="18">
        <v>-30000</v>
      </c>
      <c r="C214" s="18">
        <v>0</v>
      </c>
      <c r="D214" s="18">
        <f t="shared" si="18"/>
        <v>-30000</v>
      </c>
      <c r="E214" s="99" t="s">
        <v>4200</v>
      </c>
      <c r="F214" s="99">
        <v>0</v>
      </c>
      <c r="G214" s="36">
        <f t="shared" si="19"/>
        <v>72</v>
      </c>
      <c r="H214" s="99">
        <f t="shared" si="15"/>
        <v>0</v>
      </c>
      <c r="I214" s="99">
        <f t="shared" si="13"/>
        <v>-2160000</v>
      </c>
      <c r="J214" s="99">
        <f t="shared" si="20"/>
        <v>0</v>
      </c>
      <c r="K214" s="99">
        <f t="shared" si="17"/>
        <v>-2160000</v>
      </c>
    </row>
    <row r="215" spans="1:13">
      <c r="A215" s="99" t="s">
        <v>4199</v>
      </c>
      <c r="B215" s="18">
        <v>-178000</v>
      </c>
      <c r="C215" s="18">
        <v>0</v>
      </c>
      <c r="D215" s="18">
        <f t="shared" si="18"/>
        <v>-178000</v>
      </c>
      <c r="E215" s="99" t="s">
        <v>4202</v>
      </c>
      <c r="F215" s="99">
        <v>1</v>
      </c>
      <c r="G215" s="36">
        <f t="shared" si="19"/>
        <v>72</v>
      </c>
      <c r="H215" s="99">
        <f t="shared" si="15"/>
        <v>0</v>
      </c>
      <c r="I215" s="99">
        <f t="shared" si="13"/>
        <v>-12816000</v>
      </c>
      <c r="J215" s="99">
        <f t="shared" si="20"/>
        <v>0</v>
      </c>
      <c r="K215" s="99">
        <f t="shared" si="17"/>
        <v>-12816000</v>
      </c>
    </row>
    <row r="216" spans="1:13">
      <c r="A216" s="99" t="s">
        <v>4204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71</v>
      </c>
      <c r="H216" s="99">
        <f t="shared" si="15"/>
        <v>0</v>
      </c>
      <c r="I216" s="99">
        <f t="shared" si="13"/>
        <v>-6788310</v>
      </c>
      <c r="J216" s="99">
        <f t="shared" si="20"/>
        <v>0</v>
      </c>
      <c r="K216" s="99">
        <f t="shared" si="17"/>
        <v>-6788310</v>
      </c>
    </row>
    <row r="217" spans="1:13">
      <c r="A217" s="99" t="s">
        <v>4168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68</v>
      </c>
      <c r="H217" s="99">
        <f t="shared" si="15"/>
        <v>0</v>
      </c>
      <c r="I217" s="99">
        <f t="shared" si="13"/>
        <v>-5712000</v>
      </c>
      <c r="J217" s="99">
        <f t="shared" si="20"/>
        <v>0</v>
      </c>
      <c r="K217" s="99">
        <f t="shared" si="17"/>
        <v>-5712000</v>
      </c>
    </row>
    <row r="218" spans="1:13">
      <c r="A218" s="99" t="s">
        <v>4208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66</v>
      </c>
      <c r="H218" s="99">
        <f t="shared" si="15"/>
        <v>0</v>
      </c>
      <c r="I218" s="99">
        <f t="shared" si="13"/>
        <v>-2178000</v>
      </c>
      <c r="J218" s="99">
        <f t="shared" si="20"/>
        <v>0</v>
      </c>
      <c r="K218" s="99">
        <f t="shared" si="17"/>
        <v>-2178000</v>
      </c>
    </row>
    <row r="219" spans="1:13">
      <c r="A219" s="99" t="s">
        <v>4213</v>
      </c>
      <c r="B219" s="18">
        <v>1548000</v>
      </c>
      <c r="C219" s="18">
        <v>0</v>
      </c>
      <c r="D219" s="18">
        <f t="shared" si="18"/>
        <v>1548000</v>
      </c>
      <c r="E219" s="99" t="s">
        <v>4243</v>
      </c>
      <c r="F219" s="99">
        <v>1</v>
      </c>
      <c r="G219" s="36">
        <f t="shared" si="21"/>
        <v>63</v>
      </c>
      <c r="H219" s="99">
        <f t="shared" si="15"/>
        <v>1</v>
      </c>
      <c r="I219" s="99">
        <f t="shared" si="13"/>
        <v>95976000</v>
      </c>
      <c r="J219" s="99">
        <f t="shared" si="20"/>
        <v>0</v>
      </c>
      <c r="K219" s="99">
        <f t="shared" si="17"/>
        <v>95976000</v>
      </c>
    </row>
    <row r="220" spans="1:13">
      <c r="A220" s="99" t="s">
        <v>4244</v>
      </c>
      <c r="B220" s="18">
        <v>-1400700</v>
      </c>
      <c r="C220" s="18">
        <v>0</v>
      </c>
      <c r="D220" s="18">
        <f t="shared" si="18"/>
        <v>-1400700</v>
      </c>
      <c r="E220" s="99" t="s">
        <v>4245</v>
      </c>
      <c r="F220" s="99">
        <v>0</v>
      </c>
      <c r="G220" s="36">
        <f t="shared" si="21"/>
        <v>62</v>
      </c>
      <c r="H220" s="99">
        <f t="shared" si="15"/>
        <v>0</v>
      </c>
      <c r="I220" s="99">
        <f t="shared" si="13"/>
        <v>-86843400</v>
      </c>
      <c r="J220" s="99">
        <f t="shared" si="20"/>
        <v>0</v>
      </c>
      <c r="K220" s="99">
        <f t="shared" si="17"/>
        <v>-86843400</v>
      </c>
    </row>
    <row r="221" spans="1:13">
      <c r="A221" s="99" t="s">
        <v>4244</v>
      </c>
      <c r="B221" s="18">
        <v>-10000</v>
      </c>
      <c r="C221" s="18">
        <v>0</v>
      </c>
      <c r="D221" s="18">
        <f t="shared" si="18"/>
        <v>-10000</v>
      </c>
      <c r="E221" s="99" t="s">
        <v>1136</v>
      </c>
      <c r="F221" s="99">
        <v>0</v>
      </c>
      <c r="G221" s="36">
        <f t="shared" si="21"/>
        <v>62</v>
      </c>
      <c r="H221" s="99">
        <f t="shared" si="15"/>
        <v>0</v>
      </c>
      <c r="I221" s="99">
        <f t="shared" si="13"/>
        <v>-620000</v>
      </c>
      <c r="J221" s="99">
        <f t="shared" si="20"/>
        <v>0</v>
      </c>
      <c r="K221" s="99">
        <f t="shared" si="17"/>
        <v>-620000</v>
      </c>
    </row>
    <row r="222" spans="1:13">
      <c r="A222" s="99" t="s">
        <v>4244</v>
      </c>
      <c r="B222" s="18">
        <v>-5000</v>
      </c>
      <c r="C222" s="18">
        <v>-2500</v>
      </c>
      <c r="D222" s="18">
        <f t="shared" si="18"/>
        <v>-2500</v>
      </c>
      <c r="E222" s="99" t="s">
        <v>4256</v>
      </c>
      <c r="F222" s="99">
        <v>6</v>
      </c>
      <c r="G222" s="36">
        <f t="shared" si="21"/>
        <v>62</v>
      </c>
      <c r="H222" s="99">
        <f t="shared" si="15"/>
        <v>0</v>
      </c>
      <c r="I222" s="99">
        <f t="shared" si="13"/>
        <v>-310000</v>
      </c>
      <c r="J222" s="99">
        <f t="shared" si="20"/>
        <v>-155000</v>
      </c>
      <c r="K222" s="99">
        <f t="shared" si="17"/>
        <v>-155000</v>
      </c>
    </row>
    <row r="223" spans="1:13">
      <c r="A223" s="99" t="s">
        <v>4268</v>
      </c>
      <c r="B223" s="18">
        <v>-190000</v>
      </c>
      <c r="C223" s="18">
        <v>0</v>
      </c>
      <c r="D223" s="18">
        <f t="shared" si="18"/>
        <v>-190000</v>
      </c>
      <c r="E223" s="99" t="s">
        <v>4269</v>
      </c>
      <c r="F223" s="99">
        <v>7</v>
      </c>
      <c r="G223" s="36">
        <f t="shared" si="21"/>
        <v>56</v>
      </c>
      <c r="H223" s="99">
        <f t="shared" si="15"/>
        <v>0</v>
      </c>
      <c r="I223" s="99">
        <f t="shared" si="13"/>
        <v>-10640000</v>
      </c>
      <c r="J223" s="99">
        <f t="shared" si="20"/>
        <v>0</v>
      </c>
      <c r="K223" s="99">
        <f t="shared" si="17"/>
        <v>-10640000</v>
      </c>
      <c r="M223" t="s">
        <v>25</v>
      </c>
    </row>
    <row r="224" spans="1:13">
      <c r="A224" s="99" t="s">
        <v>4297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49</v>
      </c>
      <c r="H224" s="99">
        <f t="shared" si="15"/>
        <v>1</v>
      </c>
      <c r="I224" s="99">
        <f t="shared" si="13"/>
        <v>91728</v>
      </c>
      <c r="J224" s="99">
        <f t="shared" si="20"/>
        <v>3118656</v>
      </c>
      <c r="K224" s="99">
        <f t="shared" si="17"/>
        <v>-3026928</v>
      </c>
      <c r="M224" t="s">
        <v>25</v>
      </c>
    </row>
    <row r="225" spans="1:13">
      <c r="A225" s="99" t="s">
        <v>4316</v>
      </c>
      <c r="B225" s="18">
        <v>5000000</v>
      </c>
      <c r="C225" s="18">
        <v>0</v>
      </c>
      <c r="D225" s="18">
        <f t="shared" si="18"/>
        <v>5000000</v>
      </c>
      <c r="E225" s="99" t="s">
        <v>3893</v>
      </c>
      <c r="F225" s="99">
        <v>1</v>
      </c>
      <c r="G225" s="36">
        <f t="shared" si="21"/>
        <v>43</v>
      </c>
      <c r="H225" s="99">
        <f t="shared" si="15"/>
        <v>1</v>
      </c>
      <c r="I225" s="99">
        <f t="shared" si="13"/>
        <v>210000000</v>
      </c>
      <c r="J225" s="99">
        <f t="shared" si="20"/>
        <v>0</v>
      </c>
      <c r="K225" s="99">
        <f t="shared" si="17"/>
        <v>210000000</v>
      </c>
    </row>
    <row r="226" spans="1:13">
      <c r="A226" s="99" t="s">
        <v>4322</v>
      </c>
      <c r="B226" s="18">
        <v>-3200000</v>
      </c>
      <c r="C226" s="18">
        <v>0</v>
      </c>
      <c r="D226" s="18">
        <f t="shared" si="18"/>
        <v>-3200000</v>
      </c>
      <c r="E226" s="99" t="s">
        <v>4335</v>
      </c>
      <c r="F226" s="99">
        <v>0</v>
      </c>
      <c r="G226" s="36">
        <f t="shared" si="21"/>
        <v>42</v>
      </c>
      <c r="H226" s="99">
        <f t="shared" si="15"/>
        <v>0</v>
      </c>
      <c r="I226" s="99">
        <f t="shared" si="13"/>
        <v>-134400000</v>
      </c>
      <c r="J226" s="99">
        <f t="shared" si="20"/>
        <v>0</v>
      </c>
      <c r="K226" s="99">
        <f t="shared" si="17"/>
        <v>-134400000</v>
      </c>
    </row>
    <row r="227" spans="1:13">
      <c r="A227" s="99" t="s">
        <v>4322</v>
      </c>
      <c r="B227" s="18">
        <v>2400000</v>
      </c>
      <c r="C227" s="18">
        <v>0</v>
      </c>
      <c r="D227" s="18">
        <f t="shared" si="18"/>
        <v>2400000</v>
      </c>
      <c r="E227" s="99" t="s">
        <v>3893</v>
      </c>
      <c r="F227" s="99">
        <v>2</v>
      </c>
      <c r="G227" s="36">
        <f t="shared" si="21"/>
        <v>42</v>
      </c>
      <c r="H227" s="99">
        <f t="shared" si="15"/>
        <v>1</v>
      </c>
      <c r="I227" s="99">
        <f t="shared" si="13"/>
        <v>98400000</v>
      </c>
      <c r="J227" s="99">
        <f t="shared" si="20"/>
        <v>0</v>
      </c>
      <c r="K227" s="99">
        <f t="shared" si="17"/>
        <v>98400000</v>
      </c>
    </row>
    <row r="228" spans="1:13">
      <c r="A228" s="99" t="s">
        <v>4351</v>
      </c>
      <c r="B228" s="18">
        <v>-50000</v>
      </c>
      <c r="C228" s="18">
        <v>0</v>
      </c>
      <c r="D228" s="18">
        <f t="shared" si="18"/>
        <v>-50000</v>
      </c>
      <c r="E228" s="99" t="s">
        <v>4355</v>
      </c>
      <c r="F228" s="99">
        <v>1</v>
      </c>
      <c r="G228" s="36">
        <f t="shared" si="21"/>
        <v>40</v>
      </c>
      <c r="H228" s="99">
        <f t="shared" si="15"/>
        <v>0</v>
      </c>
      <c r="I228" s="99">
        <f t="shared" si="13"/>
        <v>-2000000</v>
      </c>
      <c r="J228" s="99">
        <f t="shared" si="20"/>
        <v>0</v>
      </c>
      <c r="K228" s="99">
        <f t="shared" si="17"/>
        <v>-2000000</v>
      </c>
    </row>
    <row r="229" spans="1:13">
      <c r="A229" s="99" t="s">
        <v>4345</v>
      </c>
      <c r="B229" s="18">
        <v>-4100700</v>
      </c>
      <c r="C229" s="18">
        <v>0</v>
      </c>
      <c r="D229" s="18">
        <f t="shared" si="18"/>
        <v>-4100700</v>
      </c>
      <c r="E229" s="99" t="s">
        <v>4356</v>
      </c>
      <c r="F229" s="99">
        <v>4</v>
      </c>
      <c r="G229" s="36">
        <f t="shared" si="21"/>
        <v>39</v>
      </c>
      <c r="H229" s="99">
        <f t="shared" si="15"/>
        <v>0</v>
      </c>
      <c r="I229" s="99">
        <f t="shared" si="13"/>
        <v>-159927300</v>
      </c>
      <c r="J229" s="99">
        <f t="shared" si="20"/>
        <v>0</v>
      </c>
      <c r="K229" s="99">
        <f t="shared" si="17"/>
        <v>-159927300</v>
      </c>
    </row>
    <row r="230" spans="1:13">
      <c r="A230" s="99" t="s">
        <v>4364</v>
      </c>
      <c r="B230" s="18">
        <v>9700000</v>
      </c>
      <c r="C230" s="18">
        <v>0</v>
      </c>
      <c r="D230" s="18">
        <f t="shared" si="18"/>
        <v>9700000</v>
      </c>
      <c r="E230" s="99" t="s">
        <v>3893</v>
      </c>
      <c r="F230" s="99">
        <v>0</v>
      </c>
      <c r="G230" s="36">
        <f t="shared" si="21"/>
        <v>35</v>
      </c>
      <c r="H230" s="99">
        <f t="shared" si="15"/>
        <v>1</v>
      </c>
      <c r="I230" s="99">
        <f t="shared" si="13"/>
        <v>329800000</v>
      </c>
      <c r="J230" s="99">
        <f t="shared" si="20"/>
        <v>0</v>
      </c>
      <c r="K230" s="99">
        <f t="shared" si="17"/>
        <v>329800000</v>
      </c>
    </row>
    <row r="231" spans="1:13">
      <c r="A231" s="99" t="s">
        <v>4364</v>
      </c>
      <c r="B231" s="18">
        <v>-3000900</v>
      </c>
      <c r="C231" s="18">
        <v>0</v>
      </c>
      <c r="D231" s="18">
        <f t="shared" si="18"/>
        <v>-3000900</v>
      </c>
      <c r="E231" s="99" t="s">
        <v>4372</v>
      </c>
      <c r="F231" s="99">
        <v>1</v>
      </c>
      <c r="G231" s="36">
        <f t="shared" si="21"/>
        <v>35</v>
      </c>
      <c r="H231" s="99">
        <f t="shared" si="15"/>
        <v>0</v>
      </c>
      <c r="I231" s="99">
        <f t="shared" si="13"/>
        <v>-105031500</v>
      </c>
      <c r="J231" s="99">
        <f t="shared" si="20"/>
        <v>0</v>
      </c>
      <c r="K231" s="99">
        <f t="shared" si="17"/>
        <v>-105031500</v>
      </c>
    </row>
    <row r="232" spans="1:13">
      <c r="A232" s="99" t="s">
        <v>4365</v>
      </c>
      <c r="B232" s="18">
        <v>-3000900</v>
      </c>
      <c r="C232" s="18">
        <v>0</v>
      </c>
      <c r="D232" s="18">
        <f t="shared" si="18"/>
        <v>-3000900</v>
      </c>
      <c r="E232" s="99" t="s">
        <v>4372</v>
      </c>
      <c r="F232" s="99">
        <v>0</v>
      </c>
      <c r="G232" s="36">
        <f t="shared" si="21"/>
        <v>34</v>
      </c>
      <c r="H232" s="99">
        <f t="shared" si="15"/>
        <v>0</v>
      </c>
      <c r="I232" s="99">
        <f t="shared" si="13"/>
        <v>-102030600</v>
      </c>
      <c r="J232" s="99">
        <f t="shared" si="20"/>
        <v>0</v>
      </c>
      <c r="K232" s="99">
        <f t="shared" si="17"/>
        <v>-102030600</v>
      </c>
    </row>
    <row r="233" spans="1:13">
      <c r="A233" s="99" t="s">
        <v>4365</v>
      </c>
      <c r="B233" s="18">
        <v>-555000</v>
      </c>
      <c r="C233" s="18">
        <v>0</v>
      </c>
      <c r="D233" s="18">
        <f t="shared" si="18"/>
        <v>-555000</v>
      </c>
      <c r="E233" s="99" t="s">
        <v>4269</v>
      </c>
      <c r="F233" s="99">
        <v>1</v>
      </c>
      <c r="G233" s="36">
        <f t="shared" si="21"/>
        <v>34</v>
      </c>
      <c r="H233" s="99">
        <f t="shared" si="15"/>
        <v>0</v>
      </c>
      <c r="I233" s="99">
        <f t="shared" si="13"/>
        <v>-18870000</v>
      </c>
      <c r="J233" s="99">
        <f t="shared" si="20"/>
        <v>0</v>
      </c>
      <c r="K233" s="99">
        <f t="shared" si="17"/>
        <v>-18870000</v>
      </c>
    </row>
    <row r="234" spans="1:13">
      <c r="A234" s="99" t="s">
        <v>4384</v>
      </c>
      <c r="B234" s="18">
        <v>-138360</v>
      </c>
      <c r="C234" s="18">
        <v>0</v>
      </c>
      <c r="D234" s="18">
        <f t="shared" si="18"/>
        <v>-138360</v>
      </c>
      <c r="E234" s="99" t="s">
        <v>4386</v>
      </c>
      <c r="F234" s="99">
        <v>1</v>
      </c>
      <c r="G234" s="36">
        <f t="shared" si="21"/>
        <v>33</v>
      </c>
      <c r="H234" s="99">
        <f t="shared" si="15"/>
        <v>0</v>
      </c>
      <c r="I234" s="99">
        <f t="shared" si="13"/>
        <v>-4565880</v>
      </c>
      <c r="J234" s="99">
        <f t="shared" si="20"/>
        <v>0</v>
      </c>
      <c r="K234" s="99">
        <f t="shared" si="17"/>
        <v>-4565880</v>
      </c>
    </row>
    <row r="235" spans="1:13">
      <c r="A235" s="99" t="s">
        <v>4387</v>
      </c>
      <c r="B235" s="18">
        <v>-3000900</v>
      </c>
      <c r="C235" s="18">
        <v>0</v>
      </c>
      <c r="D235" s="18">
        <f t="shared" si="18"/>
        <v>-3000900</v>
      </c>
      <c r="E235" s="99" t="s">
        <v>4372</v>
      </c>
      <c r="F235" s="99">
        <v>2</v>
      </c>
      <c r="G235" s="36">
        <f t="shared" si="21"/>
        <v>32</v>
      </c>
      <c r="H235" s="99">
        <f t="shared" si="15"/>
        <v>0</v>
      </c>
      <c r="I235" s="99">
        <f t="shared" si="13"/>
        <v>-96028800</v>
      </c>
      <c r="J235" s="99">
        <f t="shared" si="20"/>
        <v>0</v>
      </c>
      <c r="K235" s="99">
        <f t="shared" si="17"/>
        <v>-96028800</v>
      </c>
      <c r="M235" t="s">
        <v>25</v>
      </c>
    </row>
    <row r="236" spans="1:13">
      <c r="A236" s="99" t="s">
        <v>4393</v>
      </c>
      <c r="B236" s="18">
        <v>-55000</v>
      </c>
      <c r="C236" s="18">
        <v>0</v>
      </c>
      <c r="D236" s="18">
        <f t="shared" si="18"/>
        <v>-55000</v>
      </c>
      <c r="E236" s="99" t="s">
        <v>4156</v>
      </c>
      <c r="F236" s="99">
        <v>4</v>
      </c>
      <c r="G236" s="36">
        <f t="shared" si="21"/>
        <v>30</v>
      </c>
      <c r="H236" s="99">
        <f t="shared" si="15"/>
        <v>0</v>
      </c>
      <c r="I236" s="99">
        <f t="shared" si="13"/>
        <v>-1650000</v>
      </c>
      <c r="J236" s="99">
        <f t="shared" si="20"/>
        <v>0</v>
      </c>
      <c r="K236" s="99">
        <f t="shared" si="17"/>
        <v>-1650000</v>
      </c>
    </row>
    <row r="237" spans="1:13">
      <c r="A237" s="99" t="s">
        <v>4412</v>
      </c>
      <c r="B237" s="18">
        <v>6035000</v>
      </c>
      <c r="C237" s="18">
        <v>0</v>
      </c>
      <c r="D237" s="18">
        <f t="shared" si="18"/>
        <v>6035000</v>
      </c>
      <c r="E237" s="99" t="s">
        <v>3893</v>
      </c>
      <c r="F237" s="99">
        <v>2</v>
      </c>
      <c r="G237" s="36">
        <f t="shared" si="21"/>
        <v>26</v>
      </c>
      <c r="H237" s="99">
        <f t="shared" si="15"/>
        <v>1</v>
      </c>
      <c r="I237" s="99">
        <f t="shared" si="13"/>
        <v>150875000</v>
      </c>
      <c r="J237" s="99">
        <f t="shared" si="20"/>
        <v>0</v>
      </c>
      <c r="K237" s="99">
        <f t="shared" si="17"/>
        <v>150875000</v>
      </c>
    </row>
    <row r="238" spans="1:13">
      <c r="A238" s="99" t="s">
        <v>4419</v>
      </c>
      <c r="B238" s="18">
        <v>-7500</v>
      </c>
      <c r="C238" s="18">
        <v>0</v>
      </c>
      <c r="D238" s="18">
        <f t="shared" si="18"/>
        <v>-7500</v>
      </c>
      <c r="E238" s="99" t="s">
        <v>4420</v>
      </c>
      <c r="F238" s="99">
        <v>1</v>
      </c>
      <c r="G238" s="36">
        <f t="shared" si="21"/>
        <v>24</v>
      </c>
      <c r="H238" s="99">
        <f t="shared" si="15"/>
        <v>0</v>
      </c>
      <c r="I238" s="99">
        <f t="shared" si="13"/>
        <v>-180000</v>
      </c>
      <c r="J238" s="99">
        <f t="shared" si="20"/>
        <v>0</v>
      </c>
      <c r="K238" s="99">
        <f t="shared" si="17"/>
        <v>-180000</v>
      </c>
    </row>
    <row r="239" spans="1:13">
      <c r="A239" s="99" t="s">
        <v>4421</v>
      </c>
      <c r="B239" s="18">
        <v>-4098523</v>
      </c>
      <c r="C239" s="18">
        <v>0</v>
      </c>
      <c r="D239" s="18">
        <f t="shared" si="18"/>
        <v>-4098523</v>
      </c>
      <c r="E239" s="99" t="s">
        <v>4422</v>
      </c>
      <c r="F239" s="99">
        <v>0</v>
      </c>
      <c r="G239" s="36">
        <f t="shared" si="21"/>
        <v>23</v>
      </c>
      <c r="H239" s="99">
        <f t="shared" si="15"/>
        <v>0</v>
      </c>
      <c r="I239" s="99">
        <f t="shared" si="13"/>
        <v>-94266029</v>
      </c>
      <c r="J239" s="99">
        <f t="shared" si="20"/>
        <v>0</v>
      </c>
      <c r="K239" s="99">
        <f t="shared" si="17"/>
        <v>-94266029</v>
      </c>
    </row>
    <row r="240" spans="1:13">
      <c r="A240" s="99" t="s">
        <v>4423</v>
      </c>
      <c r="B240" s="18">
        <v>-33225</v>
      </c>
      <c r="C240" s="18">
        <v>0</v>
      </c>
      <c r="D240" s="18">
        <f t="shared" si="18"/>
        <v>-33225</v>
      </c>
      <c r="E240" s="99" t="s">
        <v>4269</v>
      </c>
      <c r="F240" s="99">
        <v>0</v>
      </c>
      <c r="G240" s="36">
        <f t="shared" si="21"/>
        <v>23</v>
      </c>
      <c r="H240" s="99">
        <f t="shared" si="15"/>
        <v>0</v>
      </c>
      <c r="I240" s="99">
        <f t="shared" si="13"/>
        <v>-764175</v>
      </c>
      <c r="J240" s="99">
        <f t="shared" si="20"/>
        <v>0</v>
      </c>
      <c r="K240" s="99">
        <f t="shared" si="17"/>
        <v>-764175</v>
      </c>
    </row>
    <row r="241" spans="1:13">
      <c r="A241" s="99" t="s">
        <v>4423</v>
      </c>
      <c r="B241" s="18">
        <v>-1895000</v>
      </c>
      <c r="C241" s="18">
        <v>0</v>
      </c>
      <c r="D241" s="18">
        <f t="shared" si="18"/>
        <v>-1895000</v>
      </c>
      <c r="E241" s="99" t="s">
        <v>3772</v>
      </c>
      <c r="F241" s="99">
        <v>7</v>
      </c>
      <c r="G241" s="36">
        <f t="shared" si="21"/>
        <v>23</v>
      </c>
      <c r="H241" s="99">
        <f t="shared" si="15"/>
        <v>0</v>
      </c>
      <c r="I241" s="99">
        <f t="shared" si="13"/>
        <v>-43585000</v>
      </c>
      <c r="J241" s="99">
        <f t="shared" si="20"/>
        <v>0</v>
      </c>
      <c r="K241" s="99">
        <f t="shared" si="17"/>
        <v>-43585000</v>
      </c>
    </row>
    <row r="242" spans="1:13">
      <c r="A242" s="99" t="s">
        <v>4468</v>
      </c>
      <c r="B242" s="18">
        <v>2500000</v>
      </c>
      <c r="C242" s="18">
        <v>0</v>
      </c>
      <c r="D242" s="18">
        <f t="shared" si="18"/>
        <v>2500000</v>
      </c>
      <c r="E242" s="99" t="s">
        <v>3893</v>
      </c>
      <c r="F242" s="99">
        <v>2</v>
      </c>
      <c r="G242" s="36">
        <f t="shared" si="21"/>
        <v>16</v>
      </c>
      <c r="H242" s="99">
        <f t="shared" si="15"/>
        <v>1</v>
      </c>
      <c r="I242" s="99">
        <f t="shared" si="13"/>
        <v>37500000</v>
      </c>
      <c r="J242" s="99">
        <f t="shared" si="20"/>
        <v>0</v>
      </c>
      <c r="K242" s="99">
        <f t="shared" si="17"/>
        <v>37500000</v>
      </c>
    </row>
    <row r="243" spans="1:13">
      <c r="A243" s="99" t="s">
        <v>4472</v>
      </c>
      <c r="B243" s="18">
        <v>-2500000</v>
      </c>
      <c r="C243" s="18">
        <v>0</v>
      </c>
      <c r="D243" s="18">
        <f t="shared" si="18"/>
        <v>-2500000</v>
      </c>
      <c r="E243" s="99" t="s">
        <v>3772</v>
      </c>
      <c r="F243" s="99">
        <v>2</v>
      </c>
      <c r="G243" s="36">
        <f t="shared" si="21"/>
        <v>14</v>
      </c>
      <c r="H243" s="99">
        <f t="shared" si="15"/>
        <v>0</v>
      </c>
      <c r="I243" s="99">
        <f t="shared" si="13"/>
        <v>-35000000</v>
      </c>
      <c r="J243" s="99">
        <f t="shared" si="20"/>
        <v>0</v>
      </c>
      <c r="K243" s="99">
        <f t="shared" si="17"/>
        <v>-35000000</v>
      </c>
    </row>
    <row r="244" spans="1:13">
      <c r="A244" s="99" t="s">
        <v>4482</v>
      </c>
      <c r="B244" s="18">
        <v>1100000</v>
      </c>
      <c r="C244" s="18">
        <v>0</v>
      </c>
      <c r="D244" s="18">
        <f t="shared" si="18"/>
        <v>1100000</v>
      </c>
      <c r="E244" s="99" t="s">
        <v>3893</v>
      </c>
      <c r="F244" s="99">
        <v>2</v>
      </c>
      <c r="G244" s="36">
        <f t="shared" si="21"/>
        <v>12</v>
      </c>
      <c r="H244" s="99">
        <f t="shared" si="15"/>
        <v>1</v>
      </c>
      <c r="I244" s="99">
        <f t="shared" si="13"/>
        <v>12100000</v>
      </c>
      <c r="J244" s="99">
        <f t="shared" si="20"/>
        <v>0</v>
      </c>
      <c r="K244" s="99">
        <f t="shared" si="17"/>
        <v>12100000</v>
      </c>
    </row>
    <row r="245" spans="1:13">
      <c r="A245" s="99" t="s">
        <v>4490</v>
      </c>
      <c r="B245" s="18">
        <v>3000000</v>
      </c>
      <c r="C245" s="18">
        <v>0</v>
      </c>
      <c r="D245" s="18">
        <f t="shared" si="18"/>
        <v>3000000</v>
      </c>
      <c r="E245" s="99" t="s">
        <v>4492</v>
      </c>
      <c r="F245" s="99">
        <v>2</v>
      </c>
      <c r="G245" s="36">
        <f t="shared" si="21"/>
        <v>10</v>
      </c>
      <c r="H245" s="99">
        <f t="shared" si="15"/>
        <v>1</v>
      </c>
      <c r="I245" s="99">
        <f t="shared" si="13"/>
        <v>27000000</v>
      </c>
      <c r="J245" s="99">
        <f t="shared" si="20"/>
        <v>0</v>
      </c>
      <c r="K245" s="99">
        <f t="shared" si="17"/>
        <v>27000000</v>
      </c>
    </row>
    <row r="246" spans="1:13">
      <c r="A246" s="99" t="s">
        <v>4481</v>
      </c>
      <c r="B246" s="18">
        <v>-4040700</v>
      </c>
      <c r="C246" s="18">
        <v>0</v>
      </c>
      <c r="D246" s="18">
        <f t="shared" si="18"/>
        <v>-4040700</v>
      </c>
      <c r="E246" s="99" t="s">
        <v>4526</v>
      </c>
      <c r="F246" s="99">
        <v>0</v>
      </c>
      <c r="G246" s="36">
        <f t="shared" si="21"/>
        <v>8</v>
      </c>
      <c r="H246" s="99">
        <f t="shared" si="15"/>
        <v>0</v>
      </c>
      <c r="I246" s="99">
        <f t="shared" si="13"/>
        <v>-32325600</v>
      </c>
      <c r="J246" s="99">
        <f t="shared" si="20"/>
        <v>0</v>
      </c>
      <c r="K246" s="99">
        <f t="shared" si="17"/>
        <v>-32325600</v>
      </c>
    </row>
    <row r="247" spans="1:13">
      <c r="A247" s="99" t="s">
        <v>4481</v>
      </c>
      <c r="B247" s="18">
        <v>490000</v>
      </c>
      <c r="C247" s="18">
        <v>0</v>
      </c>
      <c r="D247" s="18">
        <f t="shared" si="18"/>
        <v>490000</v>
      </c>
      <c r="E247" s="99" t="s">
        <v>3893</v>
      </c>
      <c r="F247" s="99">
        <v>1</v>
      </c>
      <c r="G247" s="36">
        <f t="shared" si="21"/>
        <v>8</v>
      </c>
      <c r="H247" s="99">
        <f t="shared" si="15"/>
        <v>1</v>
      </c>
      <c r="I247" s="99">
        <f t="shared" si="13"/>
        <v>3430000</v>
      </c>
      <c r="J247" s="99">
        <f t="shared" si="20"/>
        <v>0</v>
      </c>
      <c r="K247" s="99">
        <f t="shared" si="17"/>
        <v>3430000</v>
      </c>
    </row>
    <row r="248" spans="1:13">
      <c r="A248" s="99" t="s">
        <v>4531</v>
      </c>
      <c r="B248" s="18">
        <v>1400000</v>
      </c>
      <c r="C248" s="18">
        <v>0</v>
      </c>
      <c r="D248" s="18">
        <f t="shared" si="18"/>
        <v>1400000</v>
      </c>
      <c r="E248" s="99" t="s">
        <v>3893</v>
      </c>
      <c r="F248" s="99">
        <v>0</v>
      </c>
      <c r="G248" s="36">
        <f t="shared" si="21"/>
        <v>7</v>
      </c>
      <c r="H248" s="99">
        <f t="shared" si="15"/>
        <v>1</v>
      </c>
      <c r="I248" s="99">
        <f t="shared" si="13"/>
        <v>8400000</v>
      </c>
      <c r="J248" s="99">
        <f t="shared" si="20"/>
        <v>0</v>
      </c>
      <c r="K248" s="99">
        <f t="shared" si="17"/>
        <v>8400000</v>
      </c>
      <c r="M248" t="s">
        <v>25</v>
      </c>
    </row>
    <row r="249" spans="1:13">
      <c r="A249" s="99" t="s">
        <v>4531</v>
      </c>
      <c r="B249" s="18">
        <v>-1500000</v>
      </c>
      <c r="C249" s="18">
        <v>0</v>
      </c>
      <c r="D249" s="18">
        <f t="shared" si="18"/>
        <v>-1500000</v>
      </c>
      <c r="E249" s="99" t="s">
        <v>3772</v>
      </c>
      <c r="F249" s="99">
        <v>1</v>
      </c>
      <c r="G249" s="36">
        <f t="shared" si="21"/>
        <v>7</v>
      </c>
      <c r="H249" s="99">
        <f t="shared" si="15"/>
        <v>0</v>
      </c>
      <c r="I249" s="99">
        <f t="shared" si="13"/>
        <v>-10500000</v>
      </c>
      <c r="J249" s="99">
        <f t="shared" si="20"/>
        <v>0</v>
      </c>
      <c r="K249" s="99">
        <f t="shared" si="17"/>
        <v>-10500000</v>
      </c>
    </row>
    <row r="250" spans="1:13">
      <c r="A250" s="99" t="s">
        <v>4541</v>
      </c>
      <c r="B250" s="18">
        <v>-100000</v>
      </c>
      <c r="C250" s="18">
        <v>0</v>
      </c>
      <c r="D250" s="18">
        <f t="shared" si="18"/>
        <v>-100000</v>
      </c>
      <c r="E250" s="99" t="s">
        <v>3772</v>
      </c>
      <c r="F250" s="99">
        <v>1</v>
      </c>
      <c r="G250" s="36">
        <f t="shared" si="21"/>
        <v>6</v>
      </c>
      <c r="H250" s="99">
        <f t="shared" si="15"/>
        <v>0</v>
      </c>
      <c r="I250" s="99">
        <f t="shared" si="13"/>
        <v>-600000</v>
      </c>
      <c r="J250" s="99">
        <f t="shared" si="20"/>
        <v>0</v>
      </c>
      <c r="K250" s="99">
        <f t="shared" si="17"/>
        <v>-600000</v>
      </c>
    </row>
    <row r="251" spans="1:13">
      <c r="A251" s="99" t="s">
        <v>4235</v>
      </c>
      <c r="B251" s="18">
        <v>-13900</v>
      </c>
      <c r="C251" s="18">
        <v>0</v>
      </c>
      <c r="D251" s="18">
        <f t="shared" si="18"/>
        <v>-13900</v>
      </c>
      <c r="E251" s="99" t="s">
        <v>4017</v>
      </c>
      <c r="F251" s="99">
        <v>0</v>
      </c>
      <c r="G251" s="36">
        <f t="shared" si="21"/>
        <v>5</v>
      </c>
      <c r="H251" s="99">
        <f t="shared" si="15"/>
        <v>0</v>
      </c>
      <c r="I251" s="99">
        <f t="shared" si="13"/>
        <v>-69500</v>
      </c>
      <c r="J251" s="99">
        <f t="shared" si="20"/>
        <v>0</v>
      </c>
      <c r="K251" s="99">
        <f t="shared" si="17"/>
        <v>-69500</v>
      </c>
    </row>
    <row r="252" spans="1:13">
      <c r="A252" s="99" t="s">
        <v>4235</v>
      </c>
      <c r="B252" s="18">
        <v>300000</v>
      </c>
      <c r="C252" s="18">
        <v>0</v>
      </c>
      <c r="D252" s="18">
        <f t="shared" si="18"/>
        <v>300000</v>
      </c>
      <c r="E252" s="99" t="s">
        <v>3893</v>
      </c>
      <c r="F252" s="99">
        <v>2</v>
      </c>
      <c r="G252" s="36">
        <f t="shared" si="21"/>
        <v>5</v>
      </c>
      <c r="H252" s="99">
        <f t="shared" si="15"/>
        <v>1</v>
      </c>
      <c r="I252" s="99">
        <f t="shared" si="13"/>
        <v>1200000</v>
      </c>
      <c r="J252" s="99">
        <f t="shared" si="20"/>
        <v>0</v>
      </c>
      <c r="K252" s="99">
        <f t="shared" si="17"/>
        <v>1200000</v>
      </c>
    </row>
    <row r="253" spans="1:13">
      <c r="A253" s="99" t="s">
        <v>4552</v>
      </c>
      <c r="B253" s="18">
        <v>12000000</v>
      </c>
      <c r="C253" s="18">
        <v>0</v>
      </c>
      <c r="D253" s="18">
        <f t="shared" si="18"/>
        <v>12000000</v>
      </c>
      <c r="E253" s="99" t="s">
        <v>4553</v>
      </c>
      <c r="F253" s="99">
        <v>1</v>
      </c>
      <c r="G253" s="36">
        <f t="shared" si="21"/>
        <v>3</v>
      </c>
      <c r="H253" s="99">
        <f t="shared" si="15"/>
        <v>1</v>
      </c>
      <c r="I253" s="99">
        <f t="shared" si="13"/>
        <v>24000000</v>
      </c>
      <c r="J253" s="99">
        <f t="shared" si="20"/>
        <v>0</v>
      </c>
      <c r="K253" s="99">
        <f t="shared" si="17"/>
        <v>24000000</v>
      </c>
    </row>
    <row r="254" spans="1:13">
      <c r="A254" s="99" t="s">
        <v>4554</v>
      </c>
      <c r="B254" s="18">
        <v>3000000</v>
      </c>
      <c r="C254" s="18">
        <v>0</v>
      </c>
      <c r="D254" s="18">
        <f t="shared" si="18"/>
        <v>3000000</v>
      </c>
      <c r="E254" s="99" t="s">
        <v>3893</v>
      </c>
      <c r="F254" s="99">
        <v>1</v>
      </c>
      <c r="G254" s="36">
        <f t="shared" si="21"/>
        <v>2</v>
      </c>
      <c r="H254" s="99">
        <f t="shared" si="15"/>
        <v>1</v>
      </c>
      <c r="I254" s="99">
        <f t="shared" si="13"/>
        <v>3000000</v>
      </c>
      <c r="J254" s="99">
        <f t="shared" si="20"/>
        <v>0</v>
      </c>
      <c r="K254" s="99">
        <f t="shared" si="17"/>
        <v>3000000</v>
      </c>
    </row>
    <row r="255" spans="1:13">
      <c r="A255" s="99" t="s">
        <v>4557</v>
      </c>
      <c r="B255" s="18">
        <v>-14000000</v>
      </c>
      <c r="C255" s="18">
        <v>0</v>
      </c>
      <c r="D255" s="18">
        <f t="shared" si="18"/>
        <v>-14000000</v>
      </c>
      <c r="E255" s="99" t="s">
        <v>3772</v>
      </c>
      <c r="F255" s="99">
        <v>1</v>
      </c>
      <c r="G255" s="36">
        <f t="shared" si="21"/>
        <v>1</v>
      </c>
      <c r="H255" s="99">
        <f t="shared" si="15"/>
        <v>0</v>
      </c>
      <c r="I255" s="99">
        <f t="shared" si="13"/>
        <v>-14000000</v>
      </c>
      <c r="J255" s="99">
        <f t="shared" si="20"/>
        <v>0</v>
      </c>
      <c r="K255" s="99">
        <f t="shared" si="17"/>
        <v>-14000000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1643170</v>
      </c>
      <c r="C267" s="29">
        <f>SUM(C2:C256)</f>
        <v>7968789</v>
      </c>
      <c r="D267" s="29">
        <f>SUM(D2:D254)</f>
        <v>7674381</v>
      </c>
      <c r="E267" s="11"/>
      <c r="F267" s="11"/>
      <c r="G267" s="11"/>
      <c r="H267" s="11"/>
      <c r="I267" s="29">
        <f>SUM(I2:I266)</f>
        <v>18831806311</v>
      </c>
      <c r="J267" s="29">
        <f>SUM(J2:J266)</f>
        <v>8687685429</v>
      </c>
      <c r="K267" s="29">
        <f>SUM(K2:K266)</f>
        <v>10144120882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19334503.399383985</v>
      </c>
      <c r="J270" s="29">
        <f>J267/G2</f>
        <v>8919594.8963039014</v>
      </c>
      <c r="K270" s="29">
        <f>K267/G2</f>
        <v>10414908.503080083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8871020</v>
      </c>
      <c r="G274" t="s">
        <v>25</v>
      </c>
      <c r="J274">
        <f>J267/I267*1448696</f>
        <v>668327.5583021997</v>
      </c>
      <c r="K274">
        <f>K267/I267*1448696</f>
        <v>780368.4416978003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1147</v>
      </c>
      <c r="B7" s="39">
        <v>135087</v>
      </c>
      <c r="C7" s="39">
        <v>41130</v>
      </c>
      <c r="D7" s="35">
        <f t="shared" si="0"/>
        <v>93957</v>
      </c>
      <c r="E7" s="5" t="s">
        <v>1156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1147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1158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1177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1177</v>
      </c>
      <c r="B5" s="18">
        <v>-247840</v>
      </c>
      <c r="C5" s="18">
        <v>0</v>
      </c>
      <c r="D5" s="113">
        <f t="shared" si="0"/>
        <v>-247840</v>
      </c>
      <c r="E5" s="20" t="s">
        <v>1180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1183</v>
      </c>
      <c r="B6" s="18">
        <v>-162340</v>
      </c>
      <c r="C6" s="18">
        <v>0</v>
      </c>
      <c r="D6" s="113">
        <f t="shared" si="0"/>
        <v>-162340</v>
      </c>
      <c r="E6" s="19" t="s">
        <v>1186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1183</v>
      </c>
      <c r="B7" s="18">
        <v>-3000900</v>
      </c>
      <c r="C7" s="18">
        <v>0</v>
      </c>
      <c r="D7" s="113">
        <f t="shared" si="0"/>
        <v>-3000900</v>
      </c>
      <c r="E7" s="19" t="s">
        <v>1187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1199</v>
      </c>
      <c r="B8" s="18">
        <v>-1000500</v>
      </c>
      <c r="C8" s="18">
        <v>0</v>
      </c>
      <c r="D8" s="113">
        <f t="shared" si="0"/>
        <v>-1000500</v>
      </c>
      <c r="E8" s="19" t="s">
        <v>1201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1211</v>
      </c>
      <c r="B9" s="18">
        <v>-100000</v>
      </c>
      <c r="C9" s="18">
        <v>0</v>
      </c>
      <c r="D9" s="113">
        <f t="shared" si="0"/>
        <v>-100000</v>
      </c>
      <c r="E9" s="21" t="s">
        <v>1212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1215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1215</v>
      </c>
      <c r="B11" s="18">
        <v>-1000500</v>
      </c>
      <c r="C11" s="18">
        <v>0</v>
      </c>
      <c r="D11" s="113">
        <f t="shared" si="0"/>
        <v>-1000500</v>
      </c>
      <c r="E11" s="19" t="s">
        <v>1222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1225</v>
      </c>
      <c r="B12" s="18">
        <v>-5000</v>
      </c>
      <c r="C12" s="18">
        <v>0</v>
      </c>
      <c r="D12" s="113">
        <f t="shared" si="0"/>
        <v>-5000</v>
      </c>
      <c r="E12" s="20" t="s">
        <v>1212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3668</v>
      </c>
      <c r="B13" s="18">
        <v>3000000</v>
      </c>
      <c r="C13" s="18">
        <v>0</v>
      </c>
      <c r="D13" s="113">
        <f t="shared" si="0"/>
        <v>3000000</v>
      </c>
      <c r="E13" s="20" t="s">
        <v>3671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3672</v>
      </c>
      <c r="B14" s="18">
        <v>3000000</v>
      </c>
      <c r="C14" s="18">
        <v>0</v>
      </c>
      <c r="D14" s="113">
        <f t="shared" si="0"/>
        <v>3000000</v>
      </c>
      <c r="E14" s="20" t="s">
        <v>3671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3674</v>
      </c>
      <c r="B15" s="39">
        <v>20314</v>
      </c>
      <c r="C15" s="39">
        <v>59842</v>
      </c>
      <c r="D15" s="35">
        <f t="shared" si="0"/>
        <v>-39528</v>
      </c>
      <c r="E15" s="23" t="s">
        <v>3677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1221</v>
      </c>
    </row>
    <row r="51" spans="1:18">
      <c r="D51" s="114">
        <v>1000000</v>
      </c>
      <c r="E51" s="41" t="s">
        <v>1223</v>
      </c>
    </row>
    <row r="52" spans="1:18">
      <c r="D52" s="114">
        <v>910500</v>
      </c>
      <c r="E52" s="41" t="s">
        <v>1230</v>
      </c>
    </row>
    <row r="53" spans="1:18">
      <c r="D53" s="114">
        <v>-300000</v>
      </c>
      <c r="E53" s="41" t="s">
        <v>1233</v>
      </c>
    </row>
    <row r="54" spans="1:18">
      <c r="D54" s="114">
        <v>-58500</v>
      </c>
      <c r="E54" s="41" t="s">
        <v>1234</v>
      </c>
    </row>
    <row r="55" spans="1:18">
      <c r="D55" s="114">
        <v>-1500000</v>
      </c>
      <c r="E55" s="41" t="s">
        <v>1237</v>
      </c>
    </row>
    <row r="56" spans="1:18">
      <c r="D56" s="114">
        <v>-61000</v>
      </c>
      <c r="E56" s="41" t="s">
        <v>1241</v>
      </c>
    </row>
    <row r="57" spans="1:18">
      <c r="D57" s="114">
        <v>1000000</v>
      </c>
      <c r="E57" s="41" t="s">
        <v>3660</v>
      </c>
    </row>
    <row r="58" spans="1:18">
      <c r="D58" s="114">
        <v>200000</v>
      </c>
      <c r="E58" s="41" t="s">
        <v>3670</v>
      </c>
    </row>
    <row r="59" spans="1:18">
      <c r="D59" s="114">
        <v>3000000</v>
      </c>
      <c r="E59" s="41" t="s">
        <v>3675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3674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3697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3698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3774</v>
      </c>
      <c r="B4" s="18">
        <v>-3000900</v>
      </c>
      <c r="C4" s="18">
        <v>0</v>
      </c>
      <c r="D4" s="113">
        <f t="shared" si="0"/>
        <v>-3000900</v>
      </c>
      <c r="E4" s="99" t="s">
        <v>3776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3794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3794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3928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3893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3933</v>
      </c>
      <c r="B4" s="18">
        <v>-5000000</v>
      </c>
      <c r="C4" s="18">
        <v>0</v>
      </c>
      <c r="D4" s="113">
        <f t="shared" si="0"/>
        <v>-5000000</v>
      </c>
      <c r="E4" s="99" t="s">
        <v>3934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3957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3886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3887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3917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3794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3982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3982</v>
      </c>
      <c r="B4" s="18">
        <v>-32000</v>
      </c>
      <c r="C4" s="18">
        <v>0</v>
      </c>
      <c r="D4" s="113">
        <f t="shared" si="0"/>
        <v>-32000</v>
      </c>
      <c r="E4" s="99" t="s">
        <v>3965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3984</v>
      </c>
      <c r="B5" s="18">
        <v>-750000</v>
      </c>
      <c r="C5" s="18">
        <v>0</v>
      </c>
      <c r="D5" s="113">
        <f t="shared" si="0"/>
        <v>-750000</v>
      </c>
      <c r="E5" s="20" t="s">
        <v>3772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4016</v>
      </c>
      <c r="B6" s="18">
        <v>-9396</v>
      </c>
      <c r="C6" s="18">
        <v>0</v>
      </c>
      <c r="D6" s="113">
        <f t="shared" si="0"/>
        <v>-9396</v>
      </c>
      <c r="E6" s="19" t="s">
        <v>4019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4020</v>
      </c>
      <c r="B7" s="18">
        <v>-43300</v>
      </c>
      <c r="C7" s="18">
        <v>0</v>
      </c>
      <c r="D7" s="113">
        <f t="shared" si="0"/>
        <v>-43300</v>
      </c>
      <c r="E7" s="19" t="s">
        <v>4019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3689</v>
      </c>
      <c r="B8" s="18">
        <v>360000</v>
      </c>
      <c r="C8" s="18">
        <v>0</v>
      </c>
      <c r="D8" s="113">
        <f t="shared" si="0"/>
        <v>360000</v>
      </c>
      <c r="E8" s="19" t="s">
        <v>4033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4037</v>
      </c>
      <c r="B9" s="18">
        <v>3000000</v>
      </c>
      <c r="C9" s="18">
        <v>0</v>
      </c>
      <c r="D9" s="113">
        <f t="shared" si="0"/>
        <v>3000000</v>
      </c>
      <c r="E9" s="21" t="s">
        <v>4036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4035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4043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4040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4042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4048</v>
      </c>
      <c r="B4" s="18">
        <v>-35800</v>
      </c>
      <c r="C4" s="18">
        <v>0</v>
      </c>
      <c r="D4" s="113">
        <f t="shared" si="0"/>
        <v>-35800</v>
      </c>
      <c r="E4" s="99" t="s">
        <v>3965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4047</v>
      </c>
      <c r="B5" s="18">
        <v>3600000</v>
      </c>
      <c r="C5" s="18">
        <v>0</v>
      </c>
      <c r="D5" s="113">
        <f t="shared" si="0"/>
        <v>3600000</v>
      </c>
      <c r="E5" s="20" t="s">
        <v>3893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4047</v>
      </c>
      <c r="B6" s="18">
        <v>-33377</v>
      </c>
      <c r="C6" s="18">
        <v>0</v>
      </c>
      <c r="D6" s="113">
        <f t="shared" si="0"/>
        <v>-33377</v>
      </c>
      <c r="E6" s="19" t="s">
        <v>4051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4070</v>
      </c>
      <c r="B7" s="18">
        <v>-9800000</v>
      </c>
      <c r="C7" s="18">
        <v>0</v>
      </c>
      <c r="D7" s="113">
        <f t="shared" si="0"/>
        <v>-9800000</v>
      </c>
      <c r="E7" s="19" t="s">
        <v>1219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4070</v>
      </c>
      <c r="B8" s="18">
        <v>18000000</v>
      </c>
      <c r="C8" s="18">
        <v>0</v>
      </c>
      <c r="D8" s="113">
        <f t="shared" si="0"/>
        <v>18000000</v>
      </c>
      <c r="E8" s="19" t="s">
        <v>4071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4070</v>
      </c>
      <c r="B9" s="18">
        <v>-9000000</v>
      </c>
      <c r="C9" s="18">
        <v>0</v>
      </c>
      <c r="D9" s="113">
        <f t="shared" si="0"/>
        <v>-9000000</v>
      </c>
      <c r="E9" s="21" t="s">
        <v>1219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-11600</v>
      </c>
      <c r="C10" s="18">
        <v>0</v>
      </c>
      <c r="D10" s="113">
        <f t="shared" si="0"/>
        <v>-11600</v>
      </c>
      <c r="E10" s="19" t="s">
        <v>4074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4070</v>
      </c>
      <c r="B11" s="18">
        <v>-3304327</v>
      </c>
      <c r="C11" s="18">
        <v>0</v>
      </c>
      <c r="D11" s="113">
        <f t="shared" si="0"/>
        <v>-3304327</v>
      </c>
      <c r="E11" s="19" t="s">
        <v>4075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4079</v>
      </c>
      <c r="B12" s="18">
        <v>-3000900</v>
      </c>
      <c r="C12" s="18">
        <v>0</v>
      </c>
      <c r="D12" s="113">
        <f t="shared" si="0"/>
        <v>-3000900</v>
      </c>
      <c r="E12" s="20" t="s">
        <v>4080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4084</v>
      </c>
      <c r="B13" s="18">
        <v>-2760900</v>
      </c>
      <c r="C13" s="18">
        <v>0</v>
      </c>
      <c r="D13" s="113">
        <f t="shared" si="0"/>
        <v>-2760900</v>
      </c>
      <c r="E13" s="20" t="s">
        <v>4085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4098</v>
      </c>
      <c r="B14" s="18">
        <v>1000000</v>
      </c>
      <c r="C14" s="18">
        <v>0</v>
      </c>
      <c r="D14" s="113">
        <f t="shared" si="0"/>
        <v>1000000</v>
      </c>
      <c r="E14" s="20" t="s">
        <v>4077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4114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4110</v>
      </c>
      <c r="B16" s="18">
        <v>-990000</v>
      </c>
      <c r="C16" s="18">
        <v>0</v>
      </c>
      <c r="D16" s="113">
        <f t="shared" si="0"/>
        <v>-990000</v>
      </c>
      <c r="E16" s="20" t="s">
        <v>3772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4110</v>
      </c>
      <c r="B17" s="18">
        <v>783000</v>
      </c>
      <c r="C17" s="18">
        <v>0</v>
      </c>
      <c r="D17" s="113">
        <f t="shared" si="0"/>
        <v>783000</v>
      </c>
      <c r="E17" s="20" t="s">
        <v>4117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4120</v>
      </c>
      <c r="B18" s="18">
        <v>-750500</v>
      </c>
      <c r="C18" s="18">
        <v>0</v>
      </c>
      <c r="D18" s="113">
        <f t="shared" si="0"/>
        <v>-750500</v>
      </c>
      <c r="E18" s="20" t="s">
        <v>4121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4133</v>
      </c>
      <c r="B19" s="18">
        <v>700000</v>
      </c>
      <c r="C19" s="18">
        <v>0</v>
      </c>
      <c r="D19" s="113">
        <f t="shared" si="0"/>
        <v>700000</v>
      </c>
      <c r="E19" s="20" t="s">
        <v>3893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4133</v>
      </c>
      <c r="B20" s="18">
        <v>-99000</v>
      </c>
      <c r="C20" s="18">
        <v>0</v>
      </c>
      <c r="D20" s="113">
        <f t="shared" si="0"/>
        <v>-99000</v>
      </c>
      <c r="E20" s="19" t="s">
        <v>4135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4136</v>
      </c>
      <c r="B21" s="18">
        <v>-205750</v>
      </c>
      <c r="C21" s="18">
        <v>0</v>
      </c>
      <c r="D21" s="113">
        <f t="shared" si="0"/>
        <v>-205750</v>
      </c>
      <c r="E21" s="19" t="s">
        <v>4137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4136</v>
      </c>
      <c r="B22" s="18">
        <v>-95000</v>
      </c>
      <c r="C22" s="18">
        <v>0</v>
      </c>
      <c r="D22" s="113">
        <f t="shared" si="0"/>
        <v>-95000</v>
      </c>
      <c r="E22" s="19" t="s">
        <v>4138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4154</v>
      </c>
      <c r="B23" s="18">
        <v>48650000</v>
      </c>
      <c r="C23" s="18">
        <v>0</v>
      </c>
      <c r="D23" s="113">
        <f t="shared" si="0"/>
        <v>48650000</v>
      </c>
      <c r="E23" s="19" t="s">
        <v>4155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4154</v>
      </c>
      <c r="B24" s="18">
        <v>-3005900</v>
      </c>
      <c r="C24" s="18">
        <v>0</v>
      </c>
      <c r="D24" s="113">
        <f t="shared" si="0"/>
        <v>-3005900</v>
      </c>
      <c r="E24" s="19" t="s">
        <v>4157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4159</v>
      </c>
      <c r="B25" s="18">
        <v>-33500000</v>
      </c>
      <c r="C25" s="18">
        <v>0</v>
      </c>
      <c r="D25" s="113">
        <f t="shared" si="0"/>
        <v>-33500000</v>
      </c>
      <c r="E25" s="19" t="s">
        <v>3772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4159</v>
      </c>
      <c r="B26" s="18">
        <v>-12435000</v>
      </c>
      <c r="C26" s="18">
        <v>0</v>
      </c>
      <c r="D26" s="113">
        <f t="shared" si="0"/>
        <v>-12435000</v>
      </c>
      <c r="E26" s="19" t="s">
        <v>3772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4172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4173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4169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4044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4097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4100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4111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4111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4118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4129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4132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4134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4149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4151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4161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4162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4163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4164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4166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4170</v>
      </c>
      <c r="F82" s="96"/>
      <c r="G82" s="96"/>
      <c r="H82" s="96"/>
      <c r="I82" s="96"/>
    </row>
    <row r="83" spans="1:9">
      <c r="D83" s="114">
        <v>-150000</v>
      </c>
      <c r="E83" s="41" t="s">
        <v>4171</v>
      </c>
    </row>
    <row r="84" spans="1:9">
      <c r="D84" s="114">
        <v>-150000</v>
      </c>
      <c r="E84" s="41" t="s">
        <v>1219</v>
      </c>
    </row>
    <row r="85" spans="1:9">
      <c r="D85" s="114">
        <v>43500</v>
      </c>
      <c r="E85" s="41" t="s">
        <v>4174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1147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1150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1199</v>
      </c>
      <c r="B67" s="3">
        <v>1000000</v>
      </c>
      <c r="C67" s="11" t="s">
        <v>1204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1215</v>
      </c>
      <c r="B68" s="3">
        <v>-910500</v>
      </c>
      <c r="C68" s="11" t="s">
        <v>1216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1224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1225</v>
      </c>
      <c r="B70" s="113">
        <v>-75000</v>
      </c>
      <c r="C70" s="99" t="s">
        <v>1227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3674</v>
      </c>
      <c r="B71" s="113">
        <v>1471</v>
      </c>
      <c r="C71" s="99" t="s">
        <v>3677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4254</v>
      </c>
      <c r="B72" s="113">
        <v>-5000</v>
      </c>
      <c r="C72" s="99" t="s">
        <v>4255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4169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4175</v>
      </c>
      <c r="B3" s="18">
        <v>830000</v>
      </c>
      <c r="C3" s="18">
        <v>0</v>
      </c>
      <c r="D3" s="117">
        <f t="shared" ref="D3:D26" si="0">B3-C3</f>
        <v>830000</v>
      </c>
      <c r="E3" s="20" t="s">
        <v>4177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4192</v>
      </c>
      <c r="B4" s="18">
        <v>-52440</v>
      </c>
      <c r="C4" s="18">
        <v>0</v>
      </c>
      <c r="D4" s="113">
        <f t="shared" si="0"/>
        <v>-52440</v>
      </c>
      <c r="E4" s="99" t="s">
        <v>4194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4195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4196</v>
      </c>
      <c r="B6" s="18">
        <v>-200000</v>
      </c>
      <c r="C6" s="18">
        <v>0</v>
      </c>
      <c r="D6" s="113">
        <f t="shared" si="0"/>
        <v>-200000</v>
      </c>
      <c r="E6" s="19" t="s">
        <v>4197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4198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4199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4199</v>
      </c>
      <c r="B9" s="18">
        <v>-30000</v>
      </c>
      <c r="C9" s="18">
        <v>0</v>
      </c>
      <c r="D9" s="113">
        <f t="shared" si="0"/>
        <v>-30000</v>
      </c>
      <c r="E9" s="21" t="s">
        <v>4200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-178000</v>
      </c>
      <c r="C10" s="18">
        <v>0</v>
      </c>
      <c r="D10" s="113">
        <f t="shared" si="0"/>
        <v>-178000</v>
      </c>
      <c r="E10" s="19" t="s">
        <v>4203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4204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4168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4208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4213</v>
      </c>
      <c r="B14" s="18">
        <v>1548000</v>
      </c>
      <c r="C14" s="18">
        <v>0</v>
      </c>
      <c r="D14" s="113">
        <f t="shared" si="0"/>
        <v>1548000</v>
      </c>
      <c r="E14" s="20" t="s">
        <v>4253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4244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4254</v>
      </c>
      <c r="B16" s="18">
        <v>-5000</v>
      </c>
      <c r="C16" s="18">
        <v>-2500</v>
      </c>
      <c r="D16" s="113">
        <f t="shared" si="0"/>
        <v>-2500</v>
      </c>
      <c r="E16" s="20" t="s">
        <v>4255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4268</v>
      </c>
      <c r="B17" s="18">
        <v>-190000</v>
      </c>
      <c r="C17" s="18">
        <v>0</v>
      </c>
      <c r="D17" s="113">
        <f t="shared" si="0"/>
        <v>-190000</v>
      </c>
      <c r="E17" s="20" t="s">
        <v>4269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4297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4133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4133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4136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4178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4207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4267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4273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4274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4276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4277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4282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4283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4293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4295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4296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4298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opLeftCell="A70"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4297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4316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3893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4322</v>
      </c>
      <c r="B4" s="18">
        <v>-3200000</v>
      </c>
      <c r="C4" s="18">
        <v>0</v>
      </c>
      <c r="D4" s="113">
        <f t="shared" si="0"/>
        <v>-3200000</v>
      </c>
      <c r="E4" s="99" t="s">
        <v>4334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4322</v>
      </c>
      <c r="B5" s="18">
        <v>2400000</v>
      </c>
      <c r="C5" s="18">
        <v>0</v>
      </c>
      <c r="D5" s="113">
        <f t="shared" si="0"/>
        <v>2400000</v>
      </c>
      <c r="E5" s="20" t="s">
        <v>4337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4345</v>
      </c>
      <c r="B6" s="18">
        <v>-2000700</v>
      </c>
      <c r="C6" s="18">
        <v>0</v>
      </c>
      <c r="D6" s="113">
        <f t="shared" si="0"/>
        <v>-2000700</v>
      </c>
      <c r="E6" s="19" t="s">
        <v>4346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4345</v>
      </c>
      <c r="B7" s="18">
        <v>-200000</v>
      </c>
      <c r="C7" s="18">
        <v>0</v>
      </c>
      <c r="D7" s="113">
        <f t="shared" si="0"/>
        <v>-200000</v>
      </c>
      <c r="E7" s="19" t="s">
        <v>4347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4345</v>
      </c>
      <c r="B8" s="18">
        <v>-1900000</v>
      </c>
      <c r="C8" s="18">
        <v>0</v>
      </c>
      <c r="D8" s="113">
        <f t="shared" si="0"/>
        <v>-1900000</v>
      </c>
      <c r="E8" s="19" t="s">
        <v>4348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4351</v>
      </c>
      <c r="B9" s="18">
        <v>-50000</v>
      </c>
      <c r="C9" s="18">
        <v>0</v>
      </c>
      <c r="D9" s="113">
        <f t="shared" si="0"/>
        <v>-50000</v>
      </c>
      <c r="E9" s="21" t="s">
        <v>4352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4364</v>
      </c>
      <c r="B10" s="18">
        <v>9700000</v>
      </c>
      <c r="C10" s="18">
        <v>0</v>
      </c>
      <c r="D10" s="113">
        <f t="shared" si="0"/>
        <v>9700000</v>
      </c>
      <c r="E10" s="19" t="s">
        <v>3893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4364</v>
      </c>
      <c r="B11" s="18">
        <v>-3000900</v>
      </c>
      <c r="C11" s="18">
        <v>0</v>
      </c>
      <c r="D11" s="113">
        <f t="shared" si="0"/>
        <v>-3000900</v>
      </c>
      <c r="E11" s="19" t="s">
        <v>4372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4365</v>
      </c>
      <c r="B12" s="18">
        <v>-3000900</v>
      </c>
      <c r="C12" s="18">
        <v>0</v>
      </c>
      <c r="D12" s="113">
        <f t="shared" si="0"/>
        <v>-3000900</v>
      </c>
      <c r="E12" s="20" t="s">
        <v>4372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4365</v>
      </c>
      <c r="B13" s="18">
        <v>-555000</v>
      </c>
      <c r="C13" s="18">
        <v>0</v>
      </c>
      <c r="D13" s="113">
        <f t="shared" si="0"/>
        <v>-555000</v>
      </c>
      <c r="E13" s="20" t="s">
        <v>4269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4384</v>
      </c>
      <c r="B14" s="18">
        <v>-138360</v>
      </c>
      <c r="C14" s="18">
        <v>0</v>
      </c>
      <c r="D14" s="113">
        <f t="shared" si="0"/>
        <v>-138360</v>
      </c>
      <c r="E14" s="20" t="s">
        <v>4385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4387</v>
      </c>
      <c r="B15" s="18">
        <v>-3000900</v>
      </c>
      <c r="C15" s="18">
        <v>0</v>
      </c>
      <c r="D15" s="117">
        <f t="shared" si="0"/>
        <v>-3000900</v>
      </c>
      <c r="E15" s="20" t="s">
        <v>4372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4393</v>
      </c>
      <c r="B16" s="18">
        <v>-55000</v>
      </c>
      <c r="C16" s="18">
        <v>0</v>
      </c>
      <c r="D16" s="113">
        <f t="shared" si="0"/>
        <v>-55000</v>
      </c>
      <c r="E16" s="20" t="s">
        <v>4156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4412</v>
      </c>
      <c r="B17" s="18">
        <v>6035000</v>
      </c>
      <c r="C17" s="18">
        <v>0</v>
      </c>
      <c r="D17" s="113">
        <f t="shared" si="0"/>
        <v>6035000</v>
      </c>
      <c r="E17" s="20" t="s">
        <v>3893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4423</v>
      </c>
      <c r="B18" s="18">
        <v>-4098523</v>
      </c>
      <c r="C18" s="18">
        <v>0</v>
      </c>
      <c r="D18" s="113">
        <f t="shared" si="0"/>
        <v>-4098523</v>
      </c>
      <c r="E18" s="20" t="s">
        <v>4422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4423</v>
      </c>
      <c r="B19" s="18">
        <v>-33225</v>
      </c>
      <c r="C19" s="18">
        <v>0</v>
      </c>
      <c r="D19" s="113">
        <f t="shared" si="0"/>
        <v>-33225</v>
      </c>
      <c r="E19" s="20" t="s">
        <v>4269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4423</v>
      </c>
      <c r="B20" s="18">
        <v>-1895000</v>
      </c>
      <c r="C20" s="18">
        <v>0</v>
      </c>
      <c r="D20" s="113">
        <f t="shared" si="0"/>
        <v>-1895000</v>
      </c>
      <c r="E20" s="19" t="s">
        <v>3772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4419</v>
      </c>
      <c r="B21" s="18">
        <v>-7500</v>
      </c>
      <c r="C21" s="18">
        <v>0</v>
      </c>
      <c r="D21" s="113">
        <f t="shared" si="0"/>
        <v>-7500</v>
      </c>
      <c r="E21" s="19" t="s">
        <v>4420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4466</v>
      </c>
      <c r="B22" s="18">
        <v>7964</v>
      </c>
      <c r="C22" s="18">
        <v>65497</v>
      </c>
      <c r="D22" s="113">
        <f t="shared" si="0"/>
        <v>-57533</v>
      </c>
      <c r="E22" s="19" t="s">
        <v>4467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4300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4299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4301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4302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4305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4309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4314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4315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4317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4318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4326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4333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4338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4353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4350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4349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4354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4357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4361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4368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4369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4370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4371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4368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4373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4378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4383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4388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4390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4392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4395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4396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4397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4398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4400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4398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4402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4404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4405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4406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4407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4408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4411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4413</v>
      </c>
    </row>
    <row r="82" spans="4:5">
      <c r="D82" s="114">
        <v>-142143</v>
      </c>
      <c r="E82" s="54" t="s">
        <v>4417</v>
      </c>
    </row>
    <row r="83" spans="4:5">
      <c r="D83" s="114">
        <v>-128352</v>
      </c>
      <c r="E83" s="54" t="s">
        <v>4416</v>
      </c>
    </row>
    <row r="84" spans="4:5">
      <c r="D84" s="114">
        <v>-6035000</v>
      </c>
      <c r="E84" s="54" t="s">
        <v>4426</v>
      </c>
    </row>
    <row r="85" spans="4:5">
      <c r="D85" s="114">
        <v>-55957</v>
      </c>
      <c r="E85" s="54" t="s">
        <v>4425</v>
      </c>
    </row>
    <row r="86" spans="4:5">
      <c r="D86" s="114">
        <v>7500</v>
      </c>
      <c r="E86" s="54" t="s">
        <v>4424</v>
      </c>
    </row>
    <row r="87" spans="4:5">
      <c r="D87" s="114">
        <v>1700000</v>
      </c>
      <c r="E87" s="54" t="s">
        <v>4427</v>
      </c>
    </row>
    <row r="88" spans="4:5">
      <c r="D88" s="114">
        <v>129648</v>
      </c>
      <c r="E88" s="54" t="s">
        <v>4428</v>
      </c>
    </row>
    <row r="89" spans="4:5">
      <c r="D89" s="114">
        <v>1000000</v>
      </c>
      <c r="E89" s="54" t="s">
        <v>4433</v>
      </c>
    </row>
    <row r="90" spans="4:5">
      <c r="D90" s="114">
        <v>-53003</v>
      </c>
      <c r="E90" s="54" t="s">
        <v>4434</v>
      </c>
    </row>
    <row r="91" spans="4:5">
      <c r="D91" s="114">
        <v>-23690</v>
      </c>
      <c r="E91" s="54" t="s">
        <v>4434</v>
      </c>
    </row>
    <row r="92" spans="4:5">
      <c r="D92" s="114">
        <v>-216910</v>
      </c>
      <c r="E92" s="54" t="s">
        <v>4436</v>
      </c>
    </row>
    <row r="93" spans="4:5">
      <c r="D93" s="114">
        <v>-30304</v>
      </c>
      <c r="E93" s="54" t="s">
        <v>4440</v>
      </c>
    </row>
    <row r="94" spans="4:5">
      <c r="D94" s="114">
        <v>-10067</v>
      </c>
      <c r="E94" s="54" t="s">
        <v>4441</v>
      </c>
    </row>
    <row r="95" spans="4:5">
      <c r="D95" s="114">
        <v>-16248</v>
      </c>
      <c r="E95" s="54" t="s">
        <v>4443</v>
      </c>
    </row>
    <row r="96" spans="4:5">
      <c r="D96" s="114">
        <v>-87695</v>
      </c>
      <c r="E96" s="54" t="s">
        <v>4446</v>
      </c>
    </row>
    <row r="97" spans="4:7">
      <c r="D97" s="114">
        <v>-29231</v>
      </c>
      <c r="E97" s="54" t="s">
        <v>4447</v>
      </c>
    </row>
    <row r="98" spans="4:7">
      <c r="D98" s="114">
        <v>1000000</v>
      </c>
      <c r="E98" s="54" t="s">
        <v>4449</v>
      </c>
    </row>
    <row r="99" spans="4:7">
      <c r="D99" s="114">
        <v>-35250</v>
      </c>
      <c r="E99" s="54" t="s">
        <v>4450</v>
      </c>
    </row>
    <row r="100" spans="4:7">
      <c r="D100" s="114">
        <v>-57477</v>
      </c>
      <c r="E100" s="54" t="s">
        <v>4451</v>
      </c>
    </row>
    <row r="101" spans="4:7">
      <c r="D101" s="114">
        <v>-13565</v>
      </c>
      <c r="E101" s="54" t="s">
        <v>4452</v>
      </c>
    </row>
    <row r="102" spans="4:7">
      <c r="D102" s="114">
        <v>-9429</v>
      </c>
      <c r="E102" s="54" t="s">
        <v>4457</v>
      </c>
    </row>
    <row r="103" spans="4:7">
      <c r="D103" s="114">
        <v>-600000</v>
      </c>
      <c r="E103" s="54" t="s">
        <v>4458</v>
      </c>
    </row>
    <row r="104" spans="4:7">
      <c r="D104" s="114">
        <v>335</v>
      </c>
      <c r="E104" s="54" t="s">
        <v>4461</v>
      </c>
    </row>
    <row r="105" spans="4:7">
      <c r="D105" s="114">
        <v>31026</v>
      </c>
      <c r="E105" s="54" t="s">
        <v>4462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3710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3710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3710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3758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7" t="s">
        <v>4225</v>
      </c>
      <c r="B3" s="188">
        <f>$S3/(1+($B$1-$O3+$P3)/36500)^$N3</f>
        <v>99046.003825865118</v>
      </c>
      <c r="C3" s="188">
        <f t="shared" si="0"/>
        <v>99197.985607816503</v>
      </c>
      <c r="D3" s="188">
        <f t="shared" ref="D3:D38" si="5">$S3/(1+($D$1-$O3+$P3)/36500)^$N3</f>
        <v>99217.000892295604</v>
      </c>
      <c r="E3" s="188">
        <f t="shared" ref="E3:E38" si="6">$S3/(1+($E$1-$O3+$P3)/36500)^$N3</f>
        <v>99236.020082232528</v>
      </c>
      <c r="F3" s="188">
        <f t="shared" ref="F3:F38" si="7">$S3/(1+($F$1-$O3+$P3)/36500)^$N3</f>
        <v>99255.043178483247</v>
      </c>
      <c r="G3" s="188">
        <f t="shared" ref="G3:G38" si="8">$S3/(1+($G$1-$O3+$P3)/36500)^$N3</f>
        <v>99274.070181903095</v>
      </c>
      <c r="H3" s="188">
        <f t="shared" ref="H3:H38" si="9">$S3/(1+($H$1-$O3+$P3)/36500)^$N3</f>
        <v>99293.101093348567</v>
      </c>
      <c r="I3" s="188">
        <f t="shared" ref="I3:I38" si="10">$S3/(1+($I$1-$O3+$P3)/36500)^$N3</f>
        <v>99312.13591367552</v>
      </c>
      <c r="J3" s="188">
        <f t="shared" ref="J3:J38" si="11">$S3/(1+($J$1-$O3+$P3)/36500)^$N3</f>
        <v>99331.174643740407</v>
      </c>
      <c r="K3" s="188">
        <f t="shared" ref="K3:K38" si="12">$S3/(1+($K$1-$O3+$P3)/36500)^$N3</f>
        <v>99350.21728440038</v>
      </c>
      <c r="L3" s="188">
        <f t="shared" si="1"/>
        <v>99236.020082232528</v>
      </c>
      <c r="M3" s="187" t="s">
        <v>4234</v>
      </c>
      <c r="N3" s="187">
        <f>272-$AD$19</f>
        <v>14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984</v>
      </c>
      <c r="B7" s="188">
        <f t="shared" si="14"/>
        <v>86547.994414879649</v>
      </c>
      <c r="C7" s="188">
        <f t="shared" si="0"/>
        <v>88571.296231699031</v>
      </c>
      <c r="D7" s="188">
        <f t="shared" si="5"/>
        <v>88827.528140362279</v>
      </c>
      <c r="E7" s="188">
        <f t="shared" si="6"/>
        <v>89084.5048372124</v>
      </c>
      <c r="F7" s="188">
        <f t="shared" si="7"/>
        <v>89342.228497369317</v>
      </c>
      <c r="G7" s="188">
        <f t="shared" si="8"/>
        <v>89600.701302322937</v>
      </c>
      <c r="H7" s="188">
        <f t="shared" si="9"/>
        <v>89859.925439976432</v>
      </c>
      <c r="I7" s="188">
        <f t="shared" si="10"/>
        <v>90119.903104643236</v>
      </c>
      <c r="J7" s="188">
        <f t="shared" si="11"/>
        <v>90380.636497079715</v>
      </c>
      <c r="K7" s="188">
        <f t="shared" si="12"/>
        <v>90642.12782450729</v>
      </c>
      <c r="L7" s="188">
        <f t="shared" si="1"/>
        <v>89084.5048372124</v>
      </c>
      <c r="M7" s="187" t="s">
        <v>993</v>
      </c>
      <c r="N7" s="187">
        <f>469-$AD$19</f>
        <v>211</v>
      </c>
      <c r="O7" s="187">
        <v>0</v>
      </c>
      <c r="P7" s="187">
        <v>0</v>
      </c>
      <c r="Q7" s="187">
        <v>0</v>
      </c>
      <c r="R7" s="187">
        <f t="shared" si="2"/>
        <v>6.918032786885246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4226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4235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986</v>
      </c>
      <c r="B10" s="188">
        <f t="shared" si="14"/>
        <v>74649.553771356703</v>
      </c>
      <c r="C10" s="188">
        <f t="shared" si="0"/>
        <v>78223.459687256604</v>
      </c>
      <c r="D10" s="188">
        <f t="shared" si="5"/>
        <v>78682.092656479595</v>
      </c>
      <c r="E10" s="188">
        <f t="shared" si="6"/>
        <v>79143.420976993148</v>
      </c>
      <c r="F10" s="188">
        <f t="shared" si="7"/>
        <v>79607.460526411698</v>
      </c>
      <c r="G10" s="188">
        <f t="shared" si="8"/>
        <v>80074.227276077727</v>
      </c>
      <c r="H10" s="188">
        <f t="shared" si="9"/>
        <v>80543.737291660771</v>
      </c>
      <c r="I10" s="188">
        <f t="shared" si="10"/>
        <v>81016.00673367588</v>
      </c>
      <c r="J10" s="188">
        <f t="shared" si="11"/>
        <v>81491.051858070176</v>
      </c>
      <c r="K10" s="188">
        <f t="shared" si="12"/>
        <v>81968.88901679343</v>
      </c>
      <c r="L10" s="188">
        <f t="shared" si="1"/>
        <v>79143.420976993148</v>
      </c>
      <c r="M10" s="187" t="s">
        <v>998</v>
      </c>
      <c r="N10" s="187">
        <f>685-$AD$19</f>
        <v>427</v>
      </c>
      <c r="O10" s="187">
        <v>0</v>
      </c>
      <c r="P10" s="187">
        <v>0</v>
      </c>
      <c r="Q10" s="187">
        <v>0</v>
      </c>
      <c r="R10" s="187">
        <f t="shared" si="2"/>
        <v>14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989</v>
      </c>
      <c r="B13" s="188">
        <f t="shared" si="14"/>
        <v>79068.85842186345</v>
      </c>
      <c r="C13" s="188">
        <f t="shared" si="0"/>
        <v>82095.603807312829</v>
      </c>
      <c r="D13" s="188">
        <f t="shared" si="5"/>
        <v>82482.028127861122</v>
      </c>
      <c r="E13" s="188">
        <f t="shared" si="6"/>
        <v>82870.276677098853</v>
      </c>
      <c r="F13" s="188">
        <f t="shared" si="7"/>
        <v>83260.358091991075</v>
      </c>
      <c r="G13" s="188">
        <f t="shared" si="8"/>
        <v>83652.281050495862</v>
      </c>
      <c r="H13" s="188">
        <f t="shared" si="9"/>
        <v>84046.054271796573</v>
      </c>
      <c r="I13" s="188">
        <f t="shared" si="10"/>
        <v>84441.686516464833</v>
      </c>
      <c r="J13" s="188">
        <f t="shared" si="11"/>
        <v>84839.186586678727</v>
      </c>
      <c r="K13" s="188">
        <f t="shared" si="12"/>
        <v>85238.56332642585</v>
      </c>
      <c r="L13" s="188">
        <f t="shared" si="1"/>
        <v>82870.276677098853</v>
      </c>
      <c r="M13" s="187" t="s">
        <v>991</v>
      </c>
      <c r="N13" s="187">
        <f>601-$AD$19</f>
        <v>343</v>
      </c>
      <c r="O13" s="187">
        <v>0</v>
      </c>
      <c r="P13" s="187">
        <v>0</v>
      </c>
      <c r="Q13" s="187">
        <v>0</v>
      </c>
      <c r="R13" s="187">
        <f t="shared" si="2"/>
        <v>11.245901639344263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3854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3855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3907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3908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3956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4212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4227</v>
      </c>
      <c r="B17" s="188">
        <f t="shared" si="14"/>
        <v>99453.739818107439</v>
      </c>
      <c r="C17" s="188">
        <f t="shared" si="0"/>
        <v>99540.915413847426</v>
      </c>
      <c r="D17" s="188">
        <f t="shared" si="5"/>
        <v>99551.818406454418</v>
      </c>
      <c r="E17" s="188">
        <f t="shared" si="6"/>
        <v>99562.722742594109</v>
      </c>
      <c r="F17" s="188">
        <f t="shared" si="7"/>
        <v>99573.628422450667</v>
      </c>
      <c r="G17" s="188">
        <f t="shared" si="8"/>
        <v>99584.53544620781</v>
      </c>
      <c r="H17" s="188">
        <f t="shared" si="9"/>
        <v>99595.443814049795</v>
      </c>
      <c r="I17" s="188">
        <f t="shared" si="10"/>
        <v>99606.353526160514</v>
      </c>
      <c r="J17" s="188">
        <f t="shared" si="11"/>
        <v>99617.264582724019</v>
      </c>
      <c r="K17" s="188">
        <f t="shared" si="12"/>
        <v>99628.176983924757</v>
      </c>
      <c r="L17" s="188">
        <f t="shared" si="1"/>
        <v>99562.722742594109</v>
      </c>
      <c r="M17" s="187" t="s">
        <v>4236</v>
      </c>
      <c r="N17" s="187">
        <f>266-$AD$19</f>
        <v>8</v>
      </c>
      <c r="O17" s="187">
        <v>0</v>
      </c>
      <c r="P17" s="187">
        <v>0</v>
      </c>
      <c r="Q17" s="187">
        <v>0</v>
      </c>
      <c r="R17" s="187">
        <f t="shared" si="2"/>
        <v>0.26229508196721313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4228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4237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4229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4238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4230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3855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4231</v>
      </c>
      <c r="B21" s="188">
        <f t="shared" si="14"/>
        <v>66857.823112987317</v>
      </c>
      <c r="C21" s="188">
        <f>$S21/(1+($C$1-$O21+$P21)/36500)^$N21</f>
        <v>71304.974843349148</v>
      </c>
      <c r="D21" s="188">
        <f t="shared" si="5"/>
        <v>71881.312145205186</v>
      </c>
      <c r="E21" s="188">
        <f t="shared" si="6"/>
        <v>72462.31579975826</v>
      </c>
      <c r="F21" s="188">
        <f t="shared" si="7"/>
        <v>73048.023653116747</v>
      </c>
      <c r="G21" s="188">
        <f t="shared" si="8"/>
        <v>73638.473858833444</v>
      </c>
      <c r="H21" s="188">
        <f t="shared" si="9"/>
        <v>74233.704880463745</v>
      </c>
      <c r="I21" s="188">
        <f t="shared" si="10"/>
        <v>74833.755494038065</v>
      </c>
      <c r="J21" s="188">
        <f t="shared" si="11"/>
        <v>75438.664790636714</v>
      </c>
      <c r="K21" s="188">
        <f t="shared" si="12"/>
        <v>76048.472178961587</v>
      </c>
      <c r="L21" s="188">
        <f t="shared" si="1"/>
        <v>72462.31579975826</v>
      </c>
      <c r="M21" s="187" t="s">
        <v>4239</v>
      </c>
      <c r="N21" s="187">
        <f>846-$AD$19</f>
        <v>588</v>
      </c>
      <c r="O21" s="187">
        <v>0</v>
      </c>
      <c r="P21" s="187">
        <v>0</v>
      </c>
      <c r="Q21" s="187">
        <v>0</v>
      </c>
      <c r="R21" s="187">
        <f t="shared" si="2"/>
        <v>19.278688524590162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1" t="s">
        <v>4366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91" t="s">
        <v>4367</v>
      </c>
      <c r="N22" s="191">
        <f>547-$AD$19</f>
        <v>289</v>
      </c>
      <c r="O22" s="191">
        <v>0</v>
      </c>
      <c r="P22" s="191">
        <v>0</v>
      </c>
      <c r="Q22" s="191">
        <v>0</v>
      </c>
      <c r="R22" s="191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4291</v>
      </c>
      <c r="B23" s="188">
        <f t="shared" si="14"/>
        <v>80544.185232637843</v>
      </c>
      <c r="C23" s="188">
        <f>$S23/(1+($C$1-$O23+$P23)/36500)^$N23</f>
        <v>83380.481545894218</v>
      </c>
      <c r="D23" s="188">
        <f t="shared" si="5"/>
        <v>83741.992600983838</v>
      </c>
      <c r="E23" s="188">
        <f t="shared" si="6"/>
        <v>84105.076033865858</v>
      </c>
      <c r="F23" s="188">
        <f t="shared" si="7"/>
        <v>84469.738705210722</v>
      </c>
      <c r="G23" s="188">
        <f t="shared" si="8"/>
        <v>84835.987505700788</v>
      </c>
      <c r="H23" s="188">
        <f t="shared" si="9"/>
        <v>85203.829356196904</v>
      </c>
      <c r="I23" s="188">
        <f t="shared" si="10"/>
        <v>85573.271207839774</v>
      </c>
      <c r="J23" s="188">
        <f t="shared" si="11"/>
        <v>85944.320042202409</v>
      </c>
      <c r="K23" s="188">
        <f t="shared" si="12"/>
        <v>86316.982871428612</v>
      </c>
      <c r="L23" s="188">
        <f t="shared" si="1"/>
        <v>84105.076033865858</v>
      </c>
      <c r="M23" s="187" t="s">
        <v>4292</v>
      </c>
      <c r="N23" s="187">
        <f>574-$AD$19</f>
        <v>316</v>
      </c>
      <c r="O23" s="187">
        <v>0</v>
      </c>
      <c r="P23" s="187"/>
      <c r="Q23" s="187">
        <v>0</v>
      </c>
      <c r="R23" s="187">
        <f t="shared" si="2"/>
        <v>10.360655737704919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4232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4240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4233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4241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1003</v>
      </c>
      <c r="B26" s="188">
        <f t="shared" si="14"/>
        <v>76608.387094321617</v>
      </c>
      <c r="C26" s="188">
        <f t="shared" si="16"/>
        <v>86791.27684456823</v>
      </c>
      <c r="D26" s="188">
        <f t="shared" si="5"/>
        <v>88155.91653347385</v>
      </c>
      <c r="E26" s="188">
        <f t="shared" si="6"/>
        <v>89542.031907794983</v>
      </c>
      <c r="F26" s="188">
        <f t="shared" si="7"/>
        <v>90949.961236987176</v>
      </c>
      <c r="G26" s="188">
        <f t="shared" si="8"/>
        <v>92380.048123502231</v>
      </c>
      <c r="H26" s="188">
        <f t="shared" si="9"/>
        <v>93832.641586874553</v>
      </c>
      <c r="I26" s="188">
        <f t="shared" si="10"/>
        <v>95308.096149068151</v>
      </c>
      <c r="J26" s="188">
        <f t="shared" si="11"/>
        <v>96806.771921588792</v>
      </c>
      <c r="K26" s="188">
        <f t="shared" si="12"/>
        <v>98329.034693387526</v>
      </c>
      <c r="L26" s="188">
        <f t="shared" si="1"/>
        <v>89542.031907794983</v>
      </c>
      <c r="M26" s="187" t="s">
        <v>1004</v>
      </c>
      <c r="N26" s="187">
        <f>1397-$AD$19</f>
        <v>1139</v>
      </c>
      <c r="O26" s="187">
        <v>17</v>
      </c>
      <c r="P26" s="187">
        <f>$AI$2</f>
        <v>0.54</v>
      </c>
      <c r="Q26" s="187">
        <v>6</v>
      </c>
      <c r="R26" s="187">
        <f t="shared" si="2"/>
        <v>37.344262295081968</v>
      </c>
      <c r="S26" s="188">
        <v>100000</v>
      </c>
      <c r="T26" s="188">
        <v>96000</v>
      </c>
      <c r="U26" s="188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995</v>
      </c>
      <c r="B37" s="188">
        <f t="shared" si="14"/>
        <v>94492.054919304806</v>
      </c>
      <c r="C37" s="188">
        <f t="shared" si="16"/>
        <v>100000</v>
      </c>
      <c r="D37" s="188">
        <f t="shared" si="5"/>
        <v>100710.73786634975</v>
      </c>
      <c r="E37" s="188">
        <f t="shared" si="6"/>
        <v>101426.53705614226</v>
      </c>
      <c r="F37" s="188">
        <f t="shared" si="7"/>
        <v>102147.43368228078</v>
      </c>
      <c r="G37" s="188">
        <f t="shared" si="8"/>
        <v>102873.46411580827</v>
      </c>
      <c r="H37" s="188">
        <f t="shared" si="9"/>
        <v>103604.66498782684</v>
      </c>
      <c r="I37" s="188">
        <f t="shared" si="10"/>
        <v>104341.07319128426</v>
      </c>
      <c r="J37" s="188">
        <f t="shared" si="11"/>
        <v>105082.72588289958</v>
      </c>
      <c r="K37" s="188">
        <f t="shared" si="12"/>
        <v>105829.66048502472</v>
      </c>
      <c r="L37" s="188">
        <f t="shared" si="1"/>
        <v>101426.53705614226</v>
      </c>
      <c r="M37" s="187" t="s">
        <v>996</v>
      </c>
      <c r="N37" s="187">
        <f>775-$AD$19</f>
        <v>517</v>
      </c>
      <c r="O37" s="187">
        <v>21</v>
      </c>
      <c r="P37" s="187">
        <v>0</v>
      </c>
      <c r="Q37" s="187">
        <v>1</v>
      </c>
      <c r="R37" s="187">
        <f t="shared" si="2"/>
        <v>16.950819672131146</v>
      </c>
      <c r="S37" s="188">
        <v>100000</v>
      </c>
      <c r="T37" s="188">
        <v>104000</v>
      </c>
      <c r="U37" s="188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3786</v>
      </c>
      <c r="E53">
        <v>0.49</v>
      </c>
      <c r="AD53" s="25"/>
      <c r="AE53" s="26"/>
    </row>
    <row r="54" spans="1:31">
      <c r="D54" t="s">
        <v>3787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4224</v>
      </c>
      <c r="AD63" s="25"/>
      <c r="AE63" s="26"/>
    </row>
    <row r="64" spans="1:31">
      <c r="A64">
        <v>611</v>
      </c>
      <c r="B64" t="s">
        <v>4216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4217</v>
      </c>
      <c r="AD66" s="25"/>
      <c r="AE66" s="26"/>
    </row>
    <row r="67" spans="1:31">
      <c r="A67">
        <v>702</v>
      </c>
      <c r="B67" t="s">
        <v>4218</v>
      </c>
      <c r="AD67" s="25"/>
      <c r="AE67" s="26"/>
    </row>
    <row r="68" spans="1:31">
      <c r="A68">
        <v>704</v>
      </c>
      <c r="B68" t="s">
        <v>4219</v>
      </c>
      <c r="AD68" s="25"/>
      <c r="AE68" s="26"/>
    </row>
    <row r="69" spans="1:31">
      <c r="A69">
        <v>705</v>
      </c>
      <c r="B69" t="s">
        <v>4220</v>
      </c>
      <c r="AD69" s="25"/>
      <c r="AE69" s="26"/>
    </row>
    <row r="70" spans="1:31">
      <c r="A70">
        <v>706</v>
      </c>
      <c r="B70" t="s">
        <v>4221</v>
      </c>
      <c r="AD70" s="25"/>
      <c r="AE70" s="26"/>
    </row>
    <row r="71" spans="1:31">
      <c r="A71" s="25">
        <v>711</v>
      </c>
      <c r="B71" s="25" t="s">
        <v>4222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4223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6" sqref="B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1242</v>
      </c>
      <c r="G1" s="99" t="s">
        <v>1243</v>
      </c>
      <c r="I1" s="99" t="s">
        <v>1164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3959</v>
      </c>
      <c r="J2" s="99" t="s">
        <v>3687</v>
      </c>
      <c r="L2" s="99" t="s">
        <v>3696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1135</v>
      </c>
      <c r="J3" s="99" t="s">
        <v>3688</v>
      </c>
      <c r="L3" s="99" t="s">
        <v>3697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3683</v>
      </c>
      <c r="J4" s="99" t="s">
        <v>3684</v>
      </c>
      <c r="L4" s="99" t="s">
        <v>3703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1248</v>
      </c>
      <c r="C5" s="99"/>
      <c r="D5" s="99"/>
      <c r="F5" s="132">
        <v>0.2</v>
      </c>
      <c r="G5" s="132">
        <v>0.46</v>
      </c>
      <c r="I5" s="99"/>
      <c r="J5" s="99"/>
      <c r="L5" s="99" t="s">
        <v>3707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11800</v>
      </c>
      <c r="C6" s="99"/>
      <c r="D6" s="99"/>
      <c r="F6" s="132">
        <v>0.25</v>
      </c>
      <c r="G6" s="132">
        <v>0.61</v>
      </c>
      <c r="I6" s="99"/>
      <c r="J6" s="99"/>
      <c r="L6" s="99" t="s">
        <v>3710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3685</v>
      </c>
      <c r="J7" s="99" t="s">
        <v>3678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4259</v>
      </c>
      <c r="B8" s="95">
        <f>B2*B4*B5*B6/(B1*B3)+B7</f>
        <v>3471007.3980707391</v>
      </c>
      <c r="C8" s="99">
        <f>B2*B4*B5/(B1*B3)+B7/B6</f>
        <v>294.15316932802875</v>
      </c>
      <c r="D8" s="99" t="s">
        <v>4262</v>
      </c>
      <c r="I8" s="99" t="s">
        <v>3883</v>
      </c>
      <c r="J8" s="99" t="s">
        <v>3679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4260</v>
      </c>
      <c r="B9" s="95">
        <v>3850000</v>
      </c>
      <c r="C9" s="99"/>
      <c r="D9" s="99"/>
      <c r="I9" s="99" t="s">
        <v>3689</v>
      </c>
      <c r="J9" s="99" t="s">
        <v>3690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4261</v>
      </c>
      <c r="B10" s="95">
        <f>B9-B8</f>
        <v>378992.60192926088</v>
      </c>
      <c r="C10" s="99"/>
      <c r="D10" s="99"/>
      <c r="I10" s="59">
        <v>35679</v>
      </c>
      <c r="J10" s="69" t="s">
        <v>3721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4168</v>
      </c>
      <c r="J11" s="69" t="s">
        <v>4167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3691</v>
      </c>
      <c r="J13" s="99" t="s">
        <v>3692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3884</v>
      </c>
      <c r="J14" s="99" t="s">
        <v>3682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3693</v>
      </c>
      <c r="J16" s="99" t="s">
        <v>3694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3686</v>
      </c>
      <c r="J17" s="99" t="s">
        <v>3695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3722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11" t="s">
        <v>1089</v>
      </c>
      <c r="R21" s="211"/>
      <c r="S21" s="211"/>
      <c r="T21" s="211"/>
      <c r="U21" s="96"/>
      <c r="V21" s="96"/>
      <c r="W21" s="96"/>
      <c r="X21" s="96"/>
      <c r="Y21" s="96"/>
      <c r="Z21" s="96"/>
    </row>
    <row r="22" spans="5:35">
      <c r="O22" s="99"/>
      <c r="P22" s="99"/>
      <c r="Q22" s="211"/>
      <c r="R22" s="211"/>
      <c r="S22" s="211"/>
      <c r="T22" s="211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4089</v>
      </c>
      <c r="Q23" s="212" t="s">
        <v>1090</v>
      </c>
      <c r="R23" s="213" t="s">
        <v>1091</v>
      </c>
      <c r="S23" s="212" t="s">
        <v>1092</v>
      </c>
      <c r="T23" s="214" t="s">
        <v>1093</v>
      </c>
      <c r="AD23" t="s">
        <v>25</v>
      </c>
    </row>
    <row r="24" spans="5:35">
      <c r="O24" s="99"/>
      <c r="P24" s="99"/>
      <c r="Q24" s="212"/>
      <c r="R24" s="213"/>
      <c r="S24" s="212"/>
      <c r="T24" s="214"/>
    </row>
    <row r="25" spans="5:35">
      <c r="O25" s="174" t="s">
        <v>4145</v>
      </c>
      <c r="P25" s="174">
        <v>2182188507</v>
      </c>
      <c r="Q25" s="175" t="s">
        <v>1094</v>
      </c>
      <c r="R25" s="175" t="s">
        <v>4090</v>
      </c>
      <c r="S25" s="175" t="s">
        <v>4095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4206</v>
      </c>
      <c r="P27" s="174">
        <v>2188831909</v>
      </c>
      <c r="Q27" s="99" t="s">
        <v>4092</v>
      </c>
      <c r="R27" s="99" t="s">
        <v>4093</v>
      </c>
      <c r="S27" s="99" t="s">
        <v>4094</v>
      </c>
      <c r="T27" s="177" t="s">
        <v>4096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4082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3880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3856</v>
      </c>
      <c r="B90" s="99" t="s">
        <v>3879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3857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3858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3859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3860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3861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3862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3863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3864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3865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3866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3867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3868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3869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3870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3871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3872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3873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3874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3875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3876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3877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3878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3729</v>
      </c>
      <c r="I1" t="s">
        <v>3735</v>
      </c>
    </row>
    <row r="2" spans="1:12">
      <c r="A2">
        <v>1</v>
      </c>
      <c r="B2" t="s">
        <v>3723</v>
      </c>
      <c r="G2" t="s">
        <v>3727</v>
      </c>
      <c r="H2" t="s">
        <v>3730</v>
      </c>
      <c r="I2" t="s">
        <v>3736</v>
      </c>
    </row>
    <row r="3" spans="1:12">
      <c r="A3">
        <v>2</v>
      </c>
      <c r="B3" t="s">
        <v>3724</v>
      </c>
      <c r="G3" s="123"/>
      <c r="H3" t="s">
        <v>3731</v>
      </c>
      <c r="I3" t="s">
        <v>3737</v>
      </c>
    </row>
    <row r="4" spans="1:12">
      <c r="A4">
        <v>3</v>
      </c>
      <c r="B4" t="s">
        <v>3725</v>
      </c>
      <c r="H4" t="s">
        <v>3732</v>
      </c>
      <c r="L4" s="123"/>
    </row>
    <row r="5" spans="1:12">
      <c r="H5" t="s">
        <v>3734</v>
      </c>
    </row>
    <row r="6" spans="1:12">
      <c r="B6" s="123" t="s">
        <v>3728</v>
      </c>
      <c r="H6" t="s">
        <v>3738</v>
      </c>
    </row>
    <row r="7" spans="1:12">
      <c r="H7" t="s">
        <v>3739</v>
      </c>
    </row>
    <row r="8" spans="1:12">
      <c r="H8" t="s">
        <v>3740</v>
      </c>
    </row>
    <row r="9" spans="1:12">
      <c r="H9" t="s">
        <v>3753</v>
      </c>
    </row>
    <row r="10" spans="1:12">
      <c r="H10" t="s">
        <v>3754</v>
      </c>
    </row>
    <row r="11" spans="1:12">
      <c r="H11" t="s">
        <v>3755</v>
      </c>
    </row>
    <row r="12" spans="1:12">
      <c r="H12" t="s">
        <v>3757</v>
      </c>
    </row>
    <row r="13" spans="1:12">
      <c r="H13" t="s">
        <v>3756</v>
      </c>
    </row>
    <row r="18" spans="1:8">
      <c r="A18" s="99" t="s">
        <v>3741</v>
      </c>
      <c r="B18" s="99"/>
      <c r="C18" s="99"/>
      <c r="D18" s="99"/>
    </row>
    <row r="19" spans="1:8">
      <c r="A19" s="99">
        <v>1</v>
      </c>
      <c r="B19" s="99" t="s">
        <v>3742</v>
      </c>
      <c r="C19" s="99" t="s">
        <v>3744</v>
      </c>
      <c r="D19" s="99"/>
    </row>
    <row r="20" spans="1:8">
      <c r="A20" s="99">
        <v>2</v>
      </c>
      <c r="B20" s="99" t="s">
        <v>3743</v>
      </c>
      <c r="C20" s="99" t="s">
        <v>3745</v>
      </c>
      <c r="D20" s="99" t="s">
        <v>3746</v>
      </c>
      <c r="G20" t="s">
        <v>3747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3751</v>
      </c>
      <c r="H38" s="22"/>
    </row>
    <row r="39" spans="1:8">
      <c r="A39">
        <v>1</v>
      </c>
      <c r="B39" t="s">
        <v>3748</v>
      </c>
    </row>
    <row r="40" spans="1:8">
      <c r="A40">
        <v>2</v>
      </c>
      <c r="B40" t="s">
        <v>3752</v>
      </c>
    </row>
    <row r="41" spans="1:8">
      <c r="A41">
        <v>3</v>
      </c>
      <c r="B41" t="s">
        <v>3749</v>
      </c>
    </row>
    <row r="42" spans="1:8">
      <c r="A42">
        <v>4</v>
      </c>
      <c r="B42" t="s">
        <v>3750</v>
      </c>
    </row>
  </sheetData>
  <hyperlinks>
    <hyperlink ref="B6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1239</v>
      </c>
      <c r="B1" t="s">
        <v>1240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1347</v>
      </c>
      <c r="B1" s="96" t="s">
        <v>1348</v>
      </c>
      <c r="C1" s="96" t="s">
        <v>1349</v>
      </c>
      <c r="D1" s="96" t="s">
        <v>1350</v>
      </c>
      <c r="E1" s="96" t="s">
        <v>1351</v>
      </c>
      <c r="F1" s="96" t="s">
        <v>1352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3811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3812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3813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3814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3815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3816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3817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3818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3819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3820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3821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3822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3823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3824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3825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3826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3827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3828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3829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3830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3831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3832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3833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3834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3835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3836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3837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3838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3839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3840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3841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3842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3843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3844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3845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3846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3847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3848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3849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3850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3851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3852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3853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1247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1248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1249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1250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1251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1252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1253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1254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1255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1256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1257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1258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1259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1260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1261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1262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1263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1264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1265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1266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1267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1268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1269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1270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1271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1272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1273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1274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1275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1276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1277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1278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1279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1280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1281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1282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1283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1284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1285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1286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1287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1288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1289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1290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1291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1292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1293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1294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1295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1296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1297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1298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1299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1300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1301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1302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1303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1304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1305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1306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1307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1308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1309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1310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1311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1312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1313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1314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1315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1316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1317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1318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1319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1320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1321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1322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1323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1324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1325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1326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1327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1328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1329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1330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1331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1332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1333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1334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1335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1336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1337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1338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1339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1340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1341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1342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1343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1344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1345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1346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1353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1354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1355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1356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1357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1358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1359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1360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1361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1362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1363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1364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1365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1366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1367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1368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1369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1370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1371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1372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1373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1374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1375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1376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1377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1378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1379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1380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1381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1382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1383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1384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1385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1386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1387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1388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1389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1390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1391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1392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1393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1394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1395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1396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1397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1398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1399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1400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1401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1402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1403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1404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1405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1406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1407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1408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1409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1410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1411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1412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1413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1414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1415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1416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1417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1418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1419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1420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1421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1422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1423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1424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1425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1426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1427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1428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1429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1430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1431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1432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1433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1434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1435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1436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1437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1438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1439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1440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1441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1442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1443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1444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1445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1446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1447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1448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1449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1450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1451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1452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1453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1454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1455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1456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1457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1458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1459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1460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1461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1462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1463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1464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1465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1466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1467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1468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1469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1470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1471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1472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1473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1474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1475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1476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1477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1478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1479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1480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1481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1482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1483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1484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1485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1486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1487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1488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1489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1490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1491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1492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1493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1494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1495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1496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1497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1498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1499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1500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1501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1502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1503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1504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1505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1506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1507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1508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1509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1510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1511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1512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1513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1514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1515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1516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1517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1518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1519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1520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1521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1522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1523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1524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1525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1526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1527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1528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1529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1530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1531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1532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1533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1534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1535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1536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1537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1538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1539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1540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1541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1542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1543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1544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1545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1546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1547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1548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1549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1550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1551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1552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1553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1554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1555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1556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1557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1558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1559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1560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1561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1562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1563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1564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1565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1566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1567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1568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1569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1570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1571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1572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1573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1574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1575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1576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1577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1578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1579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1580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1581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1582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1583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1584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1585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1586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1587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1588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1589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1590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1591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1592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1593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1594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1595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1596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1597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1598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1599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1600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1601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1602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1603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1604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1605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1606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1607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1608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1609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1610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1611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1612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1613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1614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1615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1616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1617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1618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1619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1620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1621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1622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1623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1624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1625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1626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1627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1628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1629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1630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1631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1632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1633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1634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1635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1636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1637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1638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1639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1640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1641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1642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1643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1644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1645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1646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1647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1648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1649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1650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1651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1652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1653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1654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1655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1656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1657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1658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1659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1660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1661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1662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1663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1664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1665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1666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1667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1668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1669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1670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1671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1672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1673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1674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1675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1676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1677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1678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1679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1680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1681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1682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1683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1684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1685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1686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1687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1688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1689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1690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1691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1692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1693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1694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1695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1696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1697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1698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1699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1700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1701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1702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1703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1704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1705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1706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1707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1708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1709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1710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1711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1712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1713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1714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1715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1716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1717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1718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1719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1720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1721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1722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1723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1724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1725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1726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1727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1728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1729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1730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1731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1732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1733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1734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1735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1736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1737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1738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1739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1740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1741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1742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1743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1744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1745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1746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1747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1748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1749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1750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1751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1752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1753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1754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1755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1756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1757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1758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1759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1760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1761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1762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1763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1764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1765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1766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1767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1768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1769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1770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1771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1772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1773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1774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1775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1776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1777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1778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1779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1780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1781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1782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1783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1784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1785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1786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1787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1788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1789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1790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1791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1792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1793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1794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1795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1796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1797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1798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1799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1800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1801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1802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1803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1804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1805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1806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1807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1808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1809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1810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1811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1812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1813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1814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1815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1816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1817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1818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1819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1820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1821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1822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1823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1824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1825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1826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1827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1828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1829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1830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1831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1832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1833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1834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1835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1836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1837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1838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1839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1840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1841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1842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1843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1844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1845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1846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1847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1848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1849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1850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1851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1852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1853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1854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1855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1856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1857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1858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1859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1860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1861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1862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1863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1864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1865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1866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1867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1868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1869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1870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1871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1872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1873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1874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1875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1876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1877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1878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1879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1880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1881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1882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1883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1884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1885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1886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1887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1888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1889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1890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1891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1892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1893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1894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1895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1896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1897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1898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1899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1900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1901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1902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1903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1904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1905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1906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1907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1908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1909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1910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1911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1912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1913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1914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1915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1916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1917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1918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1919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1920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1921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1922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1923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1924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1925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1926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1927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1928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1929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1930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1931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1932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1933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1934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1935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1936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1937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1938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1939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1940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1941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1942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1943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1944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1945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1946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1947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1948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1949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1950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1951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1952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1953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1954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1955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1956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1957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1958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1959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1960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1961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1962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1963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1964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1965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1966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1967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1968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1969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1970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1971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1972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1973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1974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1975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1976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1977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1978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1979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1980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1981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1982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1983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1984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1985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1986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1987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1988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1989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1990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1991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1992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1993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1994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1995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1996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1997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1998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1999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2000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2001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2002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2003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2004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2005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2006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2007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2008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2009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2010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2011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2012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2013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2014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2015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2016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2017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2018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2019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2020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2021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2022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2023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2024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2025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2026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2027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2028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2029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2030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2031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2032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2033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2034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2035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2036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2037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2038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2039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2040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2041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2042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2043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2044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2045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2046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2047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2048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2049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2050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2051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2052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2053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2054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2055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2056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2057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2058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2059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2060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2061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2062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2063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2064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2065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2066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2067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2068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2069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2070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2071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2072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2073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2074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2075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2076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2077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2078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2079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2080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2081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2082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2083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2084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2085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2086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2087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2088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2089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2090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2091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2092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2093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2094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2095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2096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2097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2098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2099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2100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2101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2102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2103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2104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2105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2106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2107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2108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2109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2110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2111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2112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2113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2114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2115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2116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2117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2118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2119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2120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2121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2122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2123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2124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2125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2126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2127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2128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2129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2130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2131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2132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2133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2134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2135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2136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2137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2138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2139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2140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2141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2142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2143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2144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2145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2146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2147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2148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2149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2150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2151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2152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2153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2154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2155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2156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2157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2158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2159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2160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2161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2162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2163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2164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2165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2166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2167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2168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2169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2170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2171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2172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2173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2174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2175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2176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2177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2178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2179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2180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2181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2182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2183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2184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2185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2186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2187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2188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2189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2190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2191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2192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2193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2194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2195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2196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2197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2198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2199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2200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2201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2202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2203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2204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2205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2206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2207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2208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2209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2210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2211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2212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2213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2214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2215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2216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2217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2218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2219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2220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2221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2222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2223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2224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2225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2226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2227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2228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2229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2230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2231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2232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2233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2234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2235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2236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2237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2238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2239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2240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2241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2242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2243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2244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2245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2246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2247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2248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2249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2250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2251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2252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2253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2254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2255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2256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2257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2258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2259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2260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2261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2262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2263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2264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2265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2266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2267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2268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2269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2270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2271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2272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2273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2274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2275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2276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2277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2278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2279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2280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2281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2282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2283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2284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2285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2286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2287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2288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2289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2290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2291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2292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2293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2294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2295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2296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2297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2298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2299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2300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2301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2302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2303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2304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2305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2306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2307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2308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2309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2310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2311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2312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2313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2314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2315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2316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2317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2318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2319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2320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2321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2322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2323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2324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2325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2326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2327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2328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2329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2330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2331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2332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2333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2334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2335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2336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2337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2338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2339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2340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2341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2342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2343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2344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2345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2346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2347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2348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2349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2350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2351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2352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2353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2354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2355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2356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2357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2358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2359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2360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2361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2362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2363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2364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2365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2366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2367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2368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2369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2370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2371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2372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2373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2374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2375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2376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2377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2378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2379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2380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2381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2382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2383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2384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2385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2386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2387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2388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2389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2390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2391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2392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2393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2394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2395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2396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2397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2398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2399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2400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2401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2402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2403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2404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2405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2406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2407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2408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2409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2410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2411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2412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2413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2414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2415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2416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2417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2418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2419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2420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2421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2422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2423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2424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2425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2426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2427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2428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2429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2430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2431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2432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2433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2434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2435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2436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2437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2438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2439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2440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2441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2442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2443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2444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2445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2446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2447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2448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2449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2450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2451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2452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2453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2454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2455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2456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2457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2458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2459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2460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2461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2462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2463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2464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2465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2466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2467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2468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2469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2470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2471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2472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2473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2474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2475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2476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2477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2478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2479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2480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2481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2482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2483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2484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2485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2486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2487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2488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2489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2490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2491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2492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2493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2494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2495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2496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2497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2498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2499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2500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2501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2502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2503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2504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2505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2506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2507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2508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2509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2510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2511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2512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2513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2514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2515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2516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2517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2518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2519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2520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2521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2522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2523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2524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2525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2526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2527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2528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2529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2530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2531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2532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2533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2534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2535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2536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2537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2538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2539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2540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2541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2542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2543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2544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2545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2546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2547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2548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2549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2550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2551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2552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2553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2554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2555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2556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2557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2558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2559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2560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2561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2562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2563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2564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2565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2566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2567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2568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2569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2570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2571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2572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2573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2574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2575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2576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2577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2578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2579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2580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2581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2582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2583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2584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2585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2586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2587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2588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2589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2590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2591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2592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2593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2594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2595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2596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2597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2598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2599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2600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2601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2602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2603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2604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2605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2606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2607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2608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2609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2610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2611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2612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2613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2614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2615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2616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2617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2618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2619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2620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2621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2622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2623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2624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2625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2626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2627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2628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2629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2630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2631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2632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2633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2634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2635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2636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2637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2638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2639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2640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2641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2642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2643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2644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2645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2646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2647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2648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2649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2650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2651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2652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2653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2654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2655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2656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2657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2658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2659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2660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2661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2662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2663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2664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2665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2666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2667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2668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2669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2670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2671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2672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2673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2674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2675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2676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2677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2678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2679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2680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2681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2682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2683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2684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2685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2686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2687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2688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2689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2690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2691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2692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2693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2694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2695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2696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2697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2698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2699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2700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2701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2702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2703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2704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2705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2706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2707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2708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2709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2710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2711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2712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2713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2714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2715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2716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2717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2718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2719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2720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2721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2722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2723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2724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2725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2726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2727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2728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2729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2730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2731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2732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2733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2734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2735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2736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2737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2738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2739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2740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2741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2742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2743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2744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2745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2746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2747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2748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2749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2750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2751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2752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2753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2754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2755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2756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2757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2758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2759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2760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2761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2762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2763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2764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2765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2766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2767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2768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2769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2770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2771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2772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2773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2774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2775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2776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2777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2778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2779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2780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2781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2782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2783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2784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2785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2786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2787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2788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2789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2790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2791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2792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2793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2794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2795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2796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2797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2798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2799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2800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2801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2802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2803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2804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2805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2806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2807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2808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2809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2810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2811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2812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2813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2814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2815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2816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2817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2818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2819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2820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2821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2822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2823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2824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2825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2826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2827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2828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2829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2830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2831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2832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2833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2834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2835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2836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2837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2838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2839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2840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2841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2842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2843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2844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2845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2846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2847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2848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2849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2850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2851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2852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2853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2854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2855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2856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2857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2858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2859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2860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2861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2862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2863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2864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2865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2866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2867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2868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2869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2870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2871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2872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2873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2874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2875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2876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2877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2878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2879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2880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2881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2882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2883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2884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2885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2886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2887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2888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2889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2890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2891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2892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2893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2894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2895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2896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2897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2898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2899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2900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2901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2902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2903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2904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2905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2906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2907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2908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2909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2910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2911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2912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2913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2914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2915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2916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2917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2918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2919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2920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2921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2922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2923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2924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2925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2926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2927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2928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2929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2930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2931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2932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2933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2934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2935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2936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2937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2938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2939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2940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2941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2942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2943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2944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2945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2946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2947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2948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2949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2950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2951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2952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2953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2954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2955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2956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2957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2958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2959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2960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2961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2962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2963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2964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2965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2966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2967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2968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2969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2970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2971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2972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2973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2974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2975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2976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2977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2978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2979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2980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2981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2982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2983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2984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2985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2986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2987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2988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2989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2990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2991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2992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2993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2994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2995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2996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2997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2998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2999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3000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3001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3002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3003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3004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3005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3006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3007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3008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3009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3010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3011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3012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3013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3014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3015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3016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3017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3018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3019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3020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3021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3022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3023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3024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3025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3026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3027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3028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3029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3030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3031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3032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3033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3034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3035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3036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3037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3038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3039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3040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3041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3042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3043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3044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3045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3046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3047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3048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3049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3050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3051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3052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3053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3054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3055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3056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3057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3058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3059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3060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3061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3062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3063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3064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3065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3066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3067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3068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3069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3070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3071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3072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3073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3074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3075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3076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3077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3078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3079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3080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3081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3082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3083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3084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3085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3086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3087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3088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3089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3090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3091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3092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3093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3094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3095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3096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3097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3098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3099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3100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3101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3102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3103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3104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3105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3106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3107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3108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3109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3110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3111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3112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3113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3114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3115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3116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3117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3118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3119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3120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3121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3122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3123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3124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3125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3126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3127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3128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3129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3130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3131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3132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3133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3134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3135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3136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3137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3138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3139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3140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3141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3142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3143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3144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3145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3146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3147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3148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3149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3150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3151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3152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3153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3154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3155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3156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3157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3158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3159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3160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3161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3162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3163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3164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3165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3166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3167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3168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3169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3170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3171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3172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3173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3174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3175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3176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3177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3178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3179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3180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3181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3182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3183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3184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3185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3186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3187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3188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3189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3190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3191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3192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3193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3194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3195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3196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3197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3198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3199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3200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3201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3202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3203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3204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3205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3206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3207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3208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3209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3210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3211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3212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3213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3214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3215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3216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3217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3218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3219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3220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3221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3222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3223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3224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3225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3226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3227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3228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3229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3230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3231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3232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3233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3234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3235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3236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3237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3238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3239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3240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3241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3242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3243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3244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3245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3246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3247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3248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3249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3250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3251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3252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3253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3254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3255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3256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3257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3258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3259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3260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3261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3262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3263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3264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3265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3266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3267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3268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3269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3270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3271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3272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3273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3274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3275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3276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3277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3278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3279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3280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3281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3282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3283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3284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3285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3286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3287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3288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3289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3290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3291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3292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3293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3294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3295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3296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3297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3298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3299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3300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3301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3302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3303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3304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3305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3306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3307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3308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3309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3310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3311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3312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3313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3314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3315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3316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3317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3318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3319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3320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3321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3322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3323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3324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3325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3326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3327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3328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3329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3330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3331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3332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3333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3334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3335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3336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3337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3338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3339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3340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3341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3342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3343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3344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3345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3346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3347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3348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3349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3350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3351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3352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3353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3354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3355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3356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3357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3358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3359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3360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3361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3362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3363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3364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3365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3366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3367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3368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3369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3370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3371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3372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3373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3374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3375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3376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3377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3378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3379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3380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3381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3382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3383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3384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3385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3386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3387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3388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3389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3390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3391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3392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3393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3394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3395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3396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3397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3398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3399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3400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3401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3402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3403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3404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3405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3406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3407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3408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3409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3410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3411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3412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3413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3414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3415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3416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3417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3418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3419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3420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3421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3422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3423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3424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3425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3426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3427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3428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3429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3430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3431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3432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3433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3434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3435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3436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3437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3438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3439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3440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3441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3442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3443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3444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3445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3446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3447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3448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3449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3450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3451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3452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3453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3454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3455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3456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3457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3458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3459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3460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3461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3462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3463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3464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3465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3466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3467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3468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3469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3470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3471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3472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3473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3474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3475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3476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3477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3478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3479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3480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3481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3482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3483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3484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3485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3486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3487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3488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3489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3490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3491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3492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3493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3494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3495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3496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3497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3498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3499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3500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3501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3502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3503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3504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3505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3506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3507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3508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3509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3510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3511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3512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3513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3514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3515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3516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3517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3518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3519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3520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3521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3522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3523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3524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3525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3526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3527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3528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3529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3530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3531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3532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3533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3534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3535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3536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3537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3538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3539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3540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3541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3542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3543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3544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3545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3546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3547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3548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3549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3550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3551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3552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3553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3554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3555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3556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3557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3558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3559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3560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3561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3562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3563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3564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3565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3566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3567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3568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3569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3570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3571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3572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3573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3574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3575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3576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3577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3578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3579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3580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3581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3582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3583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3584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3585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3586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3587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3588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3589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3590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3591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3592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3593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3594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3595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3596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3597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3598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3599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3600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3601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3602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3603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3604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3605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3606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3607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3608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3609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3610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3611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3612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3613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3614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3615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3616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3617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3618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3619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3620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3621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3622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3623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3624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3625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3626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3627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3628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3629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3630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3631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3632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3633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3634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3635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3636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3637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3638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3639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3640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3641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3643</v>
      </c>
      <c r="B1" s="96" t="s">
        <v>1352</v>
      </c>
      <c r="C1" s="96" t="s">
        <v>1351</v>
      </c>
      <c r="D1" s="96" t="s">
        <v>1347</v>
      </c>
      <c r="E1" s="96" t="s">
        <v>1348</v>
      </c>
      <c r="F1" s="96" t="s">
        <v>1349</v>
      </c>
      <c r="G1" s="96" t="s">
        <v>1350</v>
      </c>
      <c r="H1" s="96"/>
      <c r="I1" s="96" t="s">
        <v>3651</v>
      </c>
      <c r="J1" s="96" t="s">
        <v>1130</v>
      </c>
      <c r="K1" s="96" t="s">
        <v>1238</v>
      </c>
      <c r="L1" s="96" t="s">
        <v>3652</v>
      </c>
      <c r="M1" s="96" t="s">
        <v>3653</v>
      </c>
      <c r="N1" s="96" t="s">
        <v>191</v>
      </c>
      <c r="O1" s="96" t="s">
        <v>3656</v>
      </c>
      <c r="P1" s="139" t="s">
        <v>3657</v>
      </c>
      <c r="Q1" s="139" t="s">
        <v>3658</v>
      </c>
      <c r="R1" s="96" t="s">
        <v>937</v>
      </c>
      <c r="S1" s="96" t="s">
        <v>3654</v>
      </c>
      <c r="T1" s="96" t="s">
        <v>1130</v>
      </c>
      <c r="U1" s="96" t="s">
        <v>1238</v>
      </c>
      <c r="V1" s="96" t="s">
        <v>3655</v>
      </c>
      <c r="W1" s="96" t="s">
        <v>3653</v>
      </c>
      <c r="X1" s="96" t="s">
        <v>191</v>
      </c>
    </row>
    <row r="2" spans="1:35">
      <c r="A2" s="96">
        <v>1</v>
      </c>
      <c r="B2" s="136" t="s">
        <v>3642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3641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3640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3644</v>
      </c>
      <c r="AC4" s="96" t="s">
        <v>3645</v>
      </c>
      <c r="AD4" s="96" t="s">
        <v>3646</v>
      </c>
      <c r="AE4" s="96" t="s">
        <v>3647</v>
      </c>
      <c r="AH4" s="96" t="s">
        <v>3648</v>
      </c>
      <c r="AI4" s="110">
        <v>100000000</v>
      </c>
    </row>
    <row r="5" spans="1:35">
      <c r="A5" s="96">
        <v>4</v>
      </c>
      <c r="B5" s="136" t="s">
        <v>3639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3638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3649</v>
      </c>
      <c r="AI6" s="96">
        <v>25</v>
      </c>
    </row>
    <row r="7" spans="1:35">
      <c r="A7" s="96">
        <v>6</v>
      </c>
      <c r="B7" s="136" t="s">
        <v>3637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3636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3635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3634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3650</v>
      </c>
      <c r="AI10" s="110">
        <f>AI4*(1+AI6/100)^8</f>
        <v>596046447.75390625</v>
      </c>
    </row>
    <row r="11" spans="1:35">
      <c r="A11" s="96">
        <v>10</v>
      </c>
      <c r="B11" s="136" t="s">
        <v>3633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3632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3631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3630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3629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3628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3627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3626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3625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3624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3623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3622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3621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3620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3619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3618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3617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3616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3615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3614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3613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3612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3611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3610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3609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3608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3607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3606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3605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3604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3603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3602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3601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3600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3599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3598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3597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3596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3595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3594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3593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3592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3591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3590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3589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3588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3587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3586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3585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3584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3583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3582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3581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3580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3579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3578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3577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3576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3575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3574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3573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3572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3571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3570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3569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3568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3567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3566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3565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3564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3563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3562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3561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3560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3559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3558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3557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3556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3555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3554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3553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3552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3551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3550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3549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3548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3547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3546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3545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3544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3543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3542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3541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3540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3539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3538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3537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3536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3535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3534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3533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3532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3531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3530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3529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3528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3527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3526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3525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3524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3523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3522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3521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3520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3519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3518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3517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3516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3515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3514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3513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3512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3511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3510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3509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3508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3507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3506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3505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3504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3503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3502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3501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3500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3499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3498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3497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3496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3495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3494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3493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3492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3491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3490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3489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3488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3487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3486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3485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3484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3483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3482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3481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3480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3479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3478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3477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3476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3475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3474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3473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3472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3471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3470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3469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3468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3467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3466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3465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3464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3463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3462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3461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3460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3459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3458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3457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3456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3455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3454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3453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3452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3451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3450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3449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3448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3447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3446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3445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3444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3443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3442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3441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3440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3439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3438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3437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3436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3435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3434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3433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3432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3431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3430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3429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3428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3427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3426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3425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3424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3423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3422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3421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3420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3419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3418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3417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3416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3415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3414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3413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3412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3411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3410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3409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3408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3407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3406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3405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3404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3403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3402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3401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3400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3399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3398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3397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3396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3395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3394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3393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3392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3391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3390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3389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3388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3387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3386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3385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3384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3383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3382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3381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3380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3379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3378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3377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3376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3375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3374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3373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3372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3371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3370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3369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3368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3367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3366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3365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3364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3363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3362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3361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3360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3359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3358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3357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3356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3355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3354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3353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3352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3351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3350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3349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3348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3347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3346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3345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3344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3343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3342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3341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3340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3339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3338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3337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3336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3335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3334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3333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3332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3331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3330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3329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3328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3327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3326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3325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3324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3323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3322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3321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3320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3319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3318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3317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3316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3315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3314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3313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3312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3311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3310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3309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3308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3307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3306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3305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3304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3303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3302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3301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3300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3299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3298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3297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3296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3295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3294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3293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3292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3291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3290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3289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3288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3287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3286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3285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3284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3283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3282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3281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3280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3279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3278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3277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3276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3275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3274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3273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3272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3271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3270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3269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3268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3267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3266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3265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3264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3263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3262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3261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3260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3259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3258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3257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3256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3255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3254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3253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3252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3251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3250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3249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3248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3247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3246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3245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3244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3243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3242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3241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3240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3239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3238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3237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3236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3235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3234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3233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3232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3231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3230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3229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3228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3227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3226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3225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3224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3223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3222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3221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3220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3219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3218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3217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3216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3215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3214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3213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3212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3211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3210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3209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3208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3207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3206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3205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3204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3203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3202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3201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3200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3199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3198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3197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3196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3195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3194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3193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3192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3191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3190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3189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3188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3187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3186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3185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3184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3183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3182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3181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3180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3179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3178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3177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3176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3175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3174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3173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3172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3171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3170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3169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3168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3167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3166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3165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3164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3163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3162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3161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3160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3159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3158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3157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3156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3155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3154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3153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3152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3151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3150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3149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3148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3147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3146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3145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3144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3143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3142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3141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3140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3139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3138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3137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3136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3135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3134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3133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3132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3131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3130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3129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3128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3127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3126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3125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3124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3123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3122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3121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3120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3119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3118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3117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3116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3115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3114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3113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3112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3111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3110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3109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3108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3107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3106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3105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3104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3103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3102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3101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3100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3099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3098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3097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3096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3095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3094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3093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3092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3091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3090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3089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3088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3087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3086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3085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3084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3083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3082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3081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3080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3079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3078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3077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3076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3075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3074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3073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3072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3071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3070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3069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3068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3067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3066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3065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3064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3063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3062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3061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3060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3059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3058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3057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3056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3055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3054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3053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3052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3051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3050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3049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3048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3047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3046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3045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3044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3043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3042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3041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3040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3039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3038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3037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3036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3035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3034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3033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3032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3031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3030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3029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3028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3027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3026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3025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3024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3023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3022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3021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3020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3019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3018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3017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3016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3015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3014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3013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3012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3011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3010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3009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3008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3007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3006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3005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3004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3003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3002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3001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3000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2999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2998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2997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2996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2995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2994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2993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2992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2991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2990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2989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2988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2987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2986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2985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2984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2983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2982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2981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2980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2979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2978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2977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2976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2975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2974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2973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2972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2971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2970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2969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2968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2967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2966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2965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2964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2963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2962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2961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2960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2959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2958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2957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2956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2955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2954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2953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2952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2951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2950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2949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2948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2947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2946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2945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2944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2943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2942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2941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2940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2939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2938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2937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2936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2935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2934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2933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2932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2931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2930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2929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2928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2927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2926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2925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2924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2923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2922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2921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2920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2919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2918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2917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2916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2915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2914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2913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2912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2911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2910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2909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2908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2907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2906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2905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2904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2903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2902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2901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2900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2899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2898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2897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2896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2895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2894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2893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2892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2891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2890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2889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2888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2887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2886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2885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2884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2883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2882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2881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2880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2879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2878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2877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2876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2875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2874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2873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2872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2871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2870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2869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2868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2867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2866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2865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2864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2863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2862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2861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2860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2859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2858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2857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2856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2855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2854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2853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2852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2851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2850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2849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2848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2847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2846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2845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2844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2843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2842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2841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2840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2839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2838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2837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2836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2835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2834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2833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2832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2831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2830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2829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2828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2827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2826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2825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2824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2823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2822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2821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2820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2819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2818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2817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2816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2815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2814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2813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2812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2811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2810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2809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2808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2807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2806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2805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2804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2803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2802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2801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2800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2799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2798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2797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2796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2795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2794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2793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2792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2791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2790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2789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2788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2787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2786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2785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2784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2783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2782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2781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2780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2779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2778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2777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2776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2775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2774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2773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2772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2771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2770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2769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2768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2767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2766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2765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2764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2763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2762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2761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2760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2759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2758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2757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2756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2755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2754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2753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2752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2751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2750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2749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2748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2747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2746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2745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2744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2743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2742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2741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2740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2739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2738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2737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2736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2735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2734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2733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2732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2731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2730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2729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2728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2727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2726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2725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2724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2723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2722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2721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2720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2719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2718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2717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2716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2715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2714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2713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2712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2711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2710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2709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2708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2707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2706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2705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2704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2703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2702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2701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2700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2699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2698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2697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2696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2695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2694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2693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2692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2691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2690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2689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2688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2687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2686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2685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2684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2683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2682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2681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2680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2679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2678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2677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2676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2675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2674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2673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2672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2671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2670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2669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2668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2667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2666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2665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2664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2663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2662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2661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2660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2659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2658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2657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2656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2655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2654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2653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2652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2651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2650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2649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2648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2647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2646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2645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2644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2643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2642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2641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2640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2639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2638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2637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2636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2635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2634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2633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2632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2631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2630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2629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2628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2627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2626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2625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2624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2623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2622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2621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2620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2619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2618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2617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2616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2615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2614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2613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2612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2611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2610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2609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2608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2607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2606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2605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2604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2603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2602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2601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2600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2599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2598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2597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2596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2595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2594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2593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2592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2591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2590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2589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2588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2587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2586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2585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2584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2583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2582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2581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2580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2579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2578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2577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2576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2575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2574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2573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2572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2571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2570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2569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2568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2567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2566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2565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2564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2563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2562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2561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2560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2559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2558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2557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2556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2555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2554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2553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2552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2551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2550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2549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2548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2547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2546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2545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2544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2543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2542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2541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2540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2539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2538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2537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2536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2535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2534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2533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2532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2531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2530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2529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2528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2527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2526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2525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2524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2523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2522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2521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2520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2519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2518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2517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2516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2515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2514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2513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2512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2511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2510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2509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2508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2507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2506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2505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2504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2503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2502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2501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2500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2499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2498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2497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2496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2495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2494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2493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2492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2491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2490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2489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2488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2487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2486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2485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2484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2483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2482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2481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2480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2479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2478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2477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2476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2475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2474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2473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2472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2471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2470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2469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2468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2467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2466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2465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2464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2463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2462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2461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2460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2459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2458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2457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2456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2455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2454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2453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2452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2451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2450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2449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2448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2447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2446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2445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2444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2443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2442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2441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2440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2439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2438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2437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2436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2435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2434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2433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2432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2431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2430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2429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2428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2427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2426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2425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2424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2423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2422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2421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2420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2419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2418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2417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2416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2415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2414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2413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2412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2411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2410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2409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2408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2407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2406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2405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2404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2403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2402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2401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2400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2399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2398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2397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2396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2395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2394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2393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2392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2391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2390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2389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2388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2387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2386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2385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2384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2383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2382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2381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2380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2379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2378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2377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2376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2375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2374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2373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2372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2371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2370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2369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2368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2367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2366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2365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2364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2363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2362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2361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2360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2359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2358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2357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2356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2355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2354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2353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2352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2351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2350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2349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2348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2347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2346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2345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2344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2343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2342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2341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2340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2339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2338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2337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2336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2335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2334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2333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2332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2331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2330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2329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2328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2327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2326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2325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2324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2323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2322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2321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2320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2319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2318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2317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2316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2315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2314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2313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2312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2311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2310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2309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2308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2307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2306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2305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2304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2303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2302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2301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2300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2299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2298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2297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2296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2295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2294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2293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2292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2291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2290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2289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2288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2287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2286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2285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2284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2283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2282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2281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2280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2279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2278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2277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2276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2275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2274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2273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2272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2271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2270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2269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2268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2267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2266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2265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2264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2263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2262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2261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2260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2259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2258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2257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2256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2255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2254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2253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2252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2251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2250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2249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2248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2247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2246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2245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2244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2243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2242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2241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2240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2239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2238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2237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2236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2235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2234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2233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2232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2231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2230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2229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2228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2227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2226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2225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2224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2223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2222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2221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2220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2219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2218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2217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2216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2215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2214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2213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2212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2211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2210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2209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2208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2207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2206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2205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2204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2203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2202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2201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2200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2199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2198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2197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2196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2195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2194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2193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2192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2191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2190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2189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2188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2187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2186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2185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2184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2183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2182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2181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2180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2179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2178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2177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2176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2175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2174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2173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2172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2171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2170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2169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2168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2167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2166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2165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2164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2163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2162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2161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2160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2159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2158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2157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2156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2155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2154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2153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2152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2151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2150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2149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2148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2147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2146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2145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2144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2143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2142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2141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2140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2139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2138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2137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2136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2135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2134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2133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2132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2131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2130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2129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2128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2127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2126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2125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2124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2123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2122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2121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2120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2119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2118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2117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2116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2115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2114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2113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2112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2111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2110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2109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2108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2107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2106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2105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2104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2103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2102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2101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2100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2099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2098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2097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2096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2095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2094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2093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2092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2091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2090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2089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2088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2087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2086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2085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2084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2083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2082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2081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2080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2079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2078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2077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2076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2075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2074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2073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2072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2071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2070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2069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2068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2067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2066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2065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2064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2063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2062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2061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2060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2059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2058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2057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2056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2055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2054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2053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2052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2051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2050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2049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2048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2047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2046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2045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2044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2043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2042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2041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2040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2039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2038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2037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2036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2035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2034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2033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2032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2031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2030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2029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2028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2027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2026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2025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2024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2023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2022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2021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2020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2019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2018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2017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2016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2015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2014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2013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2012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2011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2010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2009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2008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2007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2006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2005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2004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2003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2002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2001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2000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1999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1998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1997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1996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1995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1994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1993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1992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1991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1990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1989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1988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1987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1986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1985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1984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1983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1982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1981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1980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1979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1978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1977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1976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1975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1974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1973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1972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1971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1970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1969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1968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1967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1966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1965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1964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1963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1962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1961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1960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1959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1958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1957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1956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1955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1954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1953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1952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1951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1950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1949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1948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1947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1946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1945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1944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1943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1942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1941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1940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1939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1938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1937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1936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1935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1934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1933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1932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1931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1930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1929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1928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1927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1926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1925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1924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1923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1922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1921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1920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1919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1918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1917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1916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1915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1914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1913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1912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1911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1910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1909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1908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1907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1906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1905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1904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1903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1902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1901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1900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1899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1898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1897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1896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1895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1894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1893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1892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1891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1890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1889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1888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1887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1886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1885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1884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1883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1882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1881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1880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1879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1878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1877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1876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1875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1874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1873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1872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1871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1870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1869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1868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1867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1866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1865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1864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1863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1862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1861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1860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1859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1858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1857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1856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1855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1854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1853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1852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1851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1850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1849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1848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1847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1846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1845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1844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1843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1842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1841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1840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1839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1838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1837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1836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1835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1834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1833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1832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1831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1830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1829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1828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1827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1826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1825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1824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1823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1822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1821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1820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1819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1818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1817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1816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1815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1814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1813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1812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1811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1810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1809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1808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1807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1806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1805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1804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1803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1802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1801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1800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1799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1798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1797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1796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1795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1794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1793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1792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1791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1790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1789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1788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1787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1786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1785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1784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1783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1782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1781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1780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1779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1778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1777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1776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1775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1774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1773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1772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1771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1770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1769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1768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1767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1766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1765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1764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1763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1762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1761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1760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1759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1758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1757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1756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1755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1754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1753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1752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1751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1750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1749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1748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1747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1746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1745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1744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1743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1742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1741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1740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1739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1738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1737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1736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1735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1734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1733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1732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1731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1730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1729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1728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1727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1726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1725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1724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1723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1722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1721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1720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1719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1718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1717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1716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1715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1714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1713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1712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1711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1710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1709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1708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1707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1706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1705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1704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1703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1702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1701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1700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1699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1698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1697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1696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1695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1694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1693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1692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1691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1690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1689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1688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1687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1686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1685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1684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1683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1682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1681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1680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1679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1678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1677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1676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1675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1674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1673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1672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1671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1670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1669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1668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1667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1666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1665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1664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1663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1662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1661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1660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1659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1658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1657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1656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1655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1654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1653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1652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1651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1650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1649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1648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1647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1646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1645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1644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1643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1642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1641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1640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1639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1638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1637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1636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1635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1634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1633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1632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1631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1630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1629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1628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1627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1626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1625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1624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1623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1622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1621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1620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1619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1618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1617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1616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1615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1614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1613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1612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1611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1610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1609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1608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1607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1606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1605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1604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1603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1602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1601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1600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1599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1598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1597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1596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1595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1594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1593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1592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1591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1590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1589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1588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1587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1586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1585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1584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1583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1582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1581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1580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1579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1578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1577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1576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1575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1574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1573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1572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1571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1570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1569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1568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1567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1566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1565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1564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1563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1562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1561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1560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1559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1558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1557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1556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1555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1554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1553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1552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1551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1550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1549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1548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1547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1546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1545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1544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1543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1542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1541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1540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1539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1538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1537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1536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1535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1534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1533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1532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1531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1530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1529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1528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1527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1526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1525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1524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1523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1522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1521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1520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1519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1518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1517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1516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1515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1514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1513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1512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1511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1510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1509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1508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1507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1506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1505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1504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1503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1502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1501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1500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1499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1498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1497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1496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1495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1494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1493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1492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1491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1490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1489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1488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1487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1486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1485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1484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1483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1482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1481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1480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1479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1478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1477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1476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1475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1474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1473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1472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1471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1470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1469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1468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1467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1466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1465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1464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1463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1462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1461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1460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1459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1458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1457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1456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1455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1454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1453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1452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1451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1450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1449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1448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1447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1446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1445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1444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1443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1442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1441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1440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1439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1438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1437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1436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1435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1434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1433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1432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1431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1430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1429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1428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1427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1426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1425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1424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1423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1422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1421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1420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1419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1418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1417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1416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1415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1414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1413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1412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1411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1410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1409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1408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1407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1406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1405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1404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1403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1402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1401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1400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1399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1398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1397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1396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1395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1394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1393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1392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1391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1390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1389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1388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1387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1386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1385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1384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1383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1382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1381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1380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1379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1378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1377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1376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1375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1374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1373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1372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1371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1370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1369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1368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1367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1366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1365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1364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1363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1362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1361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1360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1359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1358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1357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1356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1355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1354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1353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1346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1345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1344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1343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1342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1341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1340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1339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1338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1337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1336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1335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1334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1333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1332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1331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1330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1329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1328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1327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1326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1325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1324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1323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1322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1321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1320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1319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1318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1317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1316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1315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1314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1313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1312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1311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1310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1309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1308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1307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1306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1305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1304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1303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1302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1301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1300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1299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1298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1297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1296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1295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1294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1293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1292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1291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1290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1289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1288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1287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1286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1285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1284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1283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1282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1281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1280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1279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1278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1277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1276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1275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1274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1273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1272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1271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1270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1269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1268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1267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1266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1265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1264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1263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1262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1261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1260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1259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1258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1257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1256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1255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1254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1253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1252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1251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1250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1249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1248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1247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1133</v>
      </c>
    </row>
    <row r="198" spans="1:7">
      <c r="A198" s="99" t="s">
        <v>1135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1136</v>
      </c>
    </row>
    <row r="199" spans="1:7">
      <c r="A199" s="99" t="s">
        <v>1135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1145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1147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1158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1162</v>
      </c>
    </row>
    <row r="203" spans="1:7">
      <c r="A203" s="99" t="s">
        <v>1158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1163</v>
      </c>
    </row>
    <row r="204" spans="1:7">
      <c r="A204" s="99" t="s">
        <v>1167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1168</v>
      </c>
    </row>
    <row r="205" spans="1:7">
      <c r="A205" s="99" t="s">
        <v>1169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1174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1175</v>
      </c>
    </row>
    <row r="207" spans="1:7">
      <c r="A207" s="99" t="s">
        <v>1177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1182</v>
      </c>
    </row>
    <row r="208" spans="1:7">
      <c r="A208" s="99" t="s">
        <v>1183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1190</v>
      </c>
    </row>
    <row r="209" spans="1:7">
      <c r="A209" s="99" t="s">
        <v>1199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1205</v>
      </c>
    </row>
    <row r="210" spans="1:7">
      <c r="A210" s="99" t="s">
        <v>1199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1206</v>
      </c>
    </row>
    <row r="211" spans="1:7">
      <c r="A211" s="99" t="s">
        <v>1208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1205</v>
      </c>
    </row>
    <row r="212" spans="1:7">
      <c r="A212" s="99" t="s">
        <v>1211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1214</v>
      </c>
    </row>
    <row r="213" spans="1:7">
      <c r="A213" s="99" t="s">
        <v>1217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1218</v>
      </c>
    </row>
    <row r="214" spans="1:7">
      <c r="A214" s="99" t="s">
        <v>1215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1222</v>
      </c>
    </row>
    <row r="215" spans="1:7">
      <c r="A215" s="99" t="s">
        <v>1225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1228</v>
      </c>
    </row>
    <row r="216" spans="1:7">
      <c r="A216" s="99" t="s">
        <v>1225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1229</v>
      </c>
    </row>
    <row r="217" spans="1:7">
      <c r="A217" s="99" t="s">
        <v>1225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1231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1232</v>
      </c>
    </row>
    <row r="219" spans="1:7">
      <c r="A219" s="99" t="s">
        <v>1244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1245</v>
      </c>
    </row>
    <row r="220" spans="1:7">
      <c r="A220" s="99" t="s">
        <v>1244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1246</v>
      </c>
    </row>
    <row r="221" spans="1:7">
      <c r="A221" s="99" t="s">
        <v>3662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3663</v>
      </c>
    </row>
    <row r="222" spans="1:7">
      <c r="A222" s="99" t="s">
        <v>3664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3666</v>
      </c>
    </row>
    <row r="223" spans="1:7">
      <c r="A223" s="99" t="s">
        <v>3674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3677</v>
      </c>
    </row>
    <row r="224" spans="1:7">
      <c r="A224" s="11" t="s">
        <v>3681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1205</v>
      </c>
    </row>
    <row r="225" spans="1:7">
      <c r="A225" s="11" t="s">
        <v>3697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3698</v>
      </c>
    </row>
    <row r="226" spans="1:7">
      <c r="A226" s="99" t="s">
        <v>3703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3703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3704</v>
      </c>
    </row>
    <row r="228" spans="1:7">
      <c r="A228" s="99" t="s">
        <v>3707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3708</v>
      </c>
    </row>
    <row r="229" spans="1:7">
      <c r="A229" s="99" t="s">
        <v>3707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3710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3711</v>
      </c>
    </row>
    <row r="231" spans="1:7">
      <c r="A231" s="99" t="s">
        <v>3718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3719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3720</v>
      </c>
    </row>
    <row r="233" spans="1:7">
      <c r="A233" s="99" t="s">
        <v>3719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3726</v>
      </c>
    </row>
    <row r="234" spans="1:7">
      <c r="A234" s="99" t="s">
        <v>3733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3759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3760</v>
      </c>
    </row>
    <row r="236" spans="1:7">
      <c r="A236" s="99" t="s">
        <v>1146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3761</v>
      </c>
    </row>
    <row r="237" spans="1:7">
      <c r="A237" s="99" t="s">
        <v>1146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3763</v>
      </c>
    </row>
    <row r="238" spans="1:7">
      <c r="A238" s="99" t="s">
        <v>1146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3766</v>
      </c>
    </row>
    <row r="239" spans="1:7">
      <c r="A239" s="99" t="s">
        <v>3767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3768</v>
      </c>
    </row>
    <row r="240" spans="1:7">
      <c r="A240" s="99" t="s">
        <v>3767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3769</v>
      </c>
    </row>
    <row r="241" spans="1:7">
      <c r="A241" s="99" t="s">
        <v>3784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3785</v>
      </c>
    </row>
    <row r="242" spans="1:7">
      <c r="A242" s="99" t="s">
        <v>3794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3796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3797</v>
      </c>
    </row>
    <row r="244" spans="1:7">
      <c r="A244" s="99" t="s">
        <v>3905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3906</v>
      </c>
    </row>
    <row r="245" spans="1:7">
      <c r="A245" s="99" t="s">
        <v>3913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3914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3916</v>
      </c>
    </row>
    <row r="247" spans="1:7">
      <c r="A247" s="99" t="s">
        <v>3914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3916</v>
      </c>
    </row>
    <row r="248" spans="1:7">
      <c r="A248" s="99" t="s">
        <v>3920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3921</v>
      </c>
    </row>
    <row r="249" spans="1:7">
      <c r="A249" s="74" t="s">
        <v>3939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3928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3893</v>
      </c>
    </row>
    <row r="251" spans="1:7">
      <c r="A251" s="99" t="s">
        <v>3933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3936</v>
      </c>
    </row>
    <row r="252" spans="1:7">
      <c r="A252" s="99" t="s">
        <v>3933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3937</v>
      </c>
    </row>
    <row r="253" spans="1:7">
      <c r="A253" s="99" t="s">
        <v>3933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3937</v>
      </c>
    </row>
    <row r="254" spans="1:7">
      <c r="A254" s="99" t="s">
        <v>3933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3940</v>
      </c>
    </row>
    <row r="255" spans="1:7">
      <c r="A255" s="99" t="s">
        <v>3942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3944</v>
      </c>
    </row>
    <row r="256" spans="1:7">
      <c r="A256" s="99" t="s">
        <v>3942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3760</v>
      </c>
    </row>
    <row r="257" spans="1:7">
      <c r="A257" s="99" t="s">
        <v>3946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3947</v>
      </c>
    </row>
    <row r="258" spans="1:7">
      <c r="A258" s="99" t="s">
        <v>3946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3948</v>
      </c>
    </row>
    <row r="259" spans="1:7">
      <c r="A259" s="99" t="s">
        <v>4244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4255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3938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M11" sqref="M11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3925</v>
      </c>
      <c r="R6" s="25" t="s">
        <v>4142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4143</v>
      </c>
      <c r="R8" s="115" t="s">
        <v>4144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3924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1141</v>
      </c>
      <c r="L13" t="s">
        <v>1138</v>
      </c>
      <c r="N13" t="s">
        <v>1143</v>
      </c>
      <c r="P13" t="s">
        <v>1137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1140</v>
      </c>
      <c r="L14" t="s">
        <v>1139</v>
      </c>
      <c r="M14" t="s">
        <v>1142</v>
      </c>
      <c r="N14" t="s">
        <v>1144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1148</v>
      </c>
      <c r="L17">
        <v>200011228</v>
      </c>
      <c r="M17" t="s">
        <v>1149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3891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4029</v>
      </c>
      <c r="L19" t="s">
        <v>4030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4031</v>
      </c>
      <c r="L20" t="s">
        <v>4190</v>
      </c>
      <c r="M20" t="s">
        <v>4032</v>
      </c>
      <c r="N20" t="s">
        <v>4191</v>
      </c>
      <c r="O20" t="s">
        <v>4112</v>
      </c>
      <c r="P20" t="s">
        <v>4113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4374</v>
      </c>
      <c r="L21" s="33" t="s">
        <v>4376</v>
      </c>
      <c r="M21" s="96" t="s">
        <v>4375</v>
      </c>
      <c r="N21" s="192" t="s">
        <v>4377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4339</v>
      </c>
      <c r="L23">
        <v>9149046982</v>
      </c>
      <c r="M23" t="s">
        <v>4340</v>
      </c>
      <c r="N23" t="s">
        <v>4341</v>
      </c>
      <c r="O23" t="s">
        <v>4342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4343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4344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3963</v>
      </c>
      <c r="B105" s="38">
        <f>SUM(B2:B103)</f>
        <v>59475793</v>
      </c>
      <c r="C105" s="73" t="s">
        <v>3962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1145</v>
      </c>
      <c r="B119" s="38">
        <v>595000</v>
      </c>
      <c r="C119" s="73" t="s">
        <v>1027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1147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1150</v>
      </c>
      <c r="B121" s="38">
        <v>-3200900</v>
      </c>
      <c r="C121" s="73" t="s">
        <v>1151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1158</v>
      </c>
      <c r="B122" s="38">
        <v>16276000</v>
      </c>
      <c r="C122" s="73" t="s">
        <v>1160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1169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1169</v>
      </c>
      <c r="B124" s="38">
        <v>2020000</v>
      </c>
      <c r="C124" s="73" t="s">
        <v>1173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1169</v>
      </c>
      <c r="B125" s="38">
        <v>4975000</v>
      </c>
      <c r="C125" s="73" t="s">
        <v>1170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1183</v>
      </c>
      <c r="B126" s="38">
        <v>-18500000</v>
      </c>
      <c r="C126" s="73" t="s">
        <v>1109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1183</v>
      </c>
      <c r="B127" s="38">
        <v>3000000</v>
      </c>
      <c r="C127" s="73" t="s">
        <v>1189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1183</v>
      </c>
      <c r="B128" s="38">
        <v>-3000900</v>
      </c>
      <c r="C128" s="73" t="s">
        <v>1195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1192</v>
      </c>
      <c r="B129" s="38">
        <v>900000</v>
      </c>
      <c r="C129" s="73" t="s">
        <v>1194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1192</v>
      </c>
      <c r="B130" s="38">
        <v>-3000900</v>
      </c>
      <c r="C130" s="73" t="s">
        <v>1195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1199</v>
      </c>
      <c r="B131" s="38">
        <v>-3000900</v>
      </c>
      <c r="C131" s="73" t="s">
        <v>1207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1208</v>
      </c>
      <c r="B132" s="38">
        <v>-1000500</v>
      </c>
      <c r="C132" s="73" t="s">
        <v>1207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1208</v>
      </c>
      <c r="B133" s="38">
        <v>100000</v>
      </c>
      <c r="C133" s="73" t="s">
        <v>1209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1211</v>
      </c>
      <c r="B134" s="38">
        <v>-200000</v>
      </c>
      <c r="C134" s="73" t="s">
        <v>1212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1215</v>
      </c>
      <c r="B135" s="38">
        <v>-2200000</v>
      </c>
      <c r="C135" s="73" t="s">
        <v>1219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1225</v>
      </c>
      <c r="B136" s="38">
        <v>-905500</v>
      </c>
      <c r="C136" s="73" t="s">
        <v>1226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1235</v>
      </c>
      <c r="B137" s="38">
        <v>1500000</v>
      </c>
      <c r="C137" s="73" t="s">
        <v>1236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3659</v>
      </c>
      <c r="B138" s="38">
        <v>-1000500</v>
      </c>
      <c r="C138" s="73" t="s">
        <v>1222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3659</v>
      </c>
      <c r="B139" s="38">
        <v>-365000</v>
      </c>
      <c r="C139" s="73" t="s">
        <v>3661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3664</v>
      </c>
      <c r="B140" s="38">
        <v>23000000</v>
      </c>
      <c r="C140" s="73" t="s">
        <v>3665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3667</v>
      </c>
      <c r="B141" s="38">
        <v>1800000</v>
      </c>
      <c r="C141" s="73" t="s">
        <v>3665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3680</v>
      </c>
      <c r="B142" s="38">
        <v>200000</v>
      </c>
      <c r="C142" s="73" t="s">
        <v>3665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3668</v>
      </c>
      <c r="B143" s="38">
        <v>-3200900</v>
      </c>
      <c r="C143" s="73" t="s">
        <v>3669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3672</v>
      </c>
      <c r="B144" s="38">
        <v>-3020900</v>
      </c>
      <c r="C144" s="73" t="s">
        <v>3673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3674</v>
      </c>
      <c r="B145" s="38">
        <v>72533</v>
      </c>
      <c r="C145" s="73" t="s">
        <v>3677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3681</v>
      </c>
      <c r="B146" s="38">
        <v>-3000900</v>
      </c>
      <c r="C146" s="73" t="s">
        <v>1207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3697</v>
      </c>
      <c r="B147" s="38">
        <v>-3001400</v>
      </c>
      <c r="C147" s="73" t="s">
        <v>3699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3697</v>
      </c>
      <c r="B148" s="38">
        <v>-216910</v>
      </c>
      <c r="C148" s="73" t="s">
        <v>3702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3703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3716</v>
      </c>
      <c r="B150" s="38">
        <v>5900000</v>
      </c>
      <c r="C150" s="73" t="s">
        <v>3717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3770</v>
      </c>
      <c r="B151" s="38">
        <v>17000000</v>
      </c>
      <c r="C151" s="73" t="s">
        <v>3771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3770</v>
      </c>
      <c r="B152" s="38">
        <v>-1000</v>
      </c>
      <c r="C152" s="73" t="s">
        <v>3772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3774</v>
      </c>
      <c r="B153" s="38">
        <v>3000000</v>
      </c>
      <c r="C153" s="73" t="s">
        <v>3777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3774</v>
      </c>
      <c r="B154" s="38">
        <v>-18011000</v>
      </c>
      <c r="C154" s="73" t="s">
        <v>3779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3774</v>
      </c>
      <c r="B155" s="38">
        <v>-15600000</v>
      </c>
      <c r="C155" s="73" t="s">
        <v>3778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3774</v>
      </c>
      <c r="B156" s="38">
        <v>-1400500</v>
      </c>
      <c r="C156" s="73" t="s">
        <v>3780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3774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3782</v>
      </c>
      <c r="B158" s="38">
        <v>3000000</v>
      </c>
      <c r="C158" s="73" t="s">
        <v>3783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3789</v>
      </c>
      <c r="B159" s="38">
        <v>1000000</v>
      </c>
      <c r="C159" s="73" t="s">
        <v>3665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3788</v>
      </c>
      <c r="B160" s="38">
        <v>-4500000</v>
      </c>
      <c r="C160" s="73" t="s">
        <v>3790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3788</v>
      </c>
      <c r="B161" s="38">
        <v>3000000</v>
      </c>
      <c r="C161" s="73" t="s">
        <v>3791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3788</v>
      </c>
      <c r="B162" s="38">
        <v>-3000000</v>
      </c>
      <c r="C162" s="73" t="s">
        <v>3790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3806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3803</v>
      </c>
      <c r="B164" s="38">
        <v>1160000</v>
      </c>
      <c r="C164" s="73" t="s">
        <v>3810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3807</v>
      </c>
      <c r="B165" s="38">
        <v>-526350</v>
      </c>
      <c r="C165" s="73" t="s">
        <v>3808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3881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3885</v>
      </c>
      <c r="B167" s="38">
        <v>785000</v>
      </c>
      <c r="C167" s="73" t="s">
        <v>3888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3885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3889</v>
      </c>
      <c r="B169" s="38">
        <v>-450000</v>
      </c>
      <c r="C169" s="73" t="s">
        <v>1109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3889</v>
      </c>
      <c r="B170" s="38">
        <v>3000000</v>
      </c>
      <c r="C170" s="73" t="s">
        <v>3893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3889</v>
      </c>
      <c r="B171" s="38">
        <v>-35000</v>
      </c>
      <c r="C171" s="73" t="s">
        <v>3896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3897</v>
      </c>
      <c r="B172" s="38">
        <v>2500000</v>
      </c>
      <c r="C172" s="73" t="s">
        <v>3893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3901</v>
      </c>
      <c r="B173" s="38">
        <v>-130640</v>
      </c>
      <c r="C173" s="73" t="s">
        <v>3902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3914</v>
      </c>
      <c r="B174" s="38">
        <v>-4800000</v>
      </c>
      <c r="C174" s="73" t="s">
        <v>3915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3914</v>
      </c>
      <c r="B175" s="38">
        <v>-320000</v>
      </c>
      <c r="C175" s="73" t="s">
        <v>3916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3914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3952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3952</v>
      </c>
      <c r="B178" s="38">
        <v>-100000</v>
      </c>
      <c r="C178" s="73" t="s">
        <v>3953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3957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3960</v>
      </c>
      <c r="B180" s="38">
        <v>-39030</v>
      </c>
      <c r="C180" s="73" t="s">
        <v>3961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3966</v>
      </c>
      <c r="B181" s="38">
        <v>-32000</v>
      </c>
      <c r="C181" s="73" t="s">
        <v>3967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3970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3972</v>
      </c>
      <c r="B183" s="38">
        <v>-20000</v>
      </c>
      <c r="C183" s="73" t="s">
        <v>3973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990</v>
      </c>
      <c r="B184" s="38">
        <v>-8185</v>
      </c>
      <c r="C184" s="73" t="s">
        <v>3976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3980</v>
      </c>
      <c r="B185" s="38">
        <v>-60100</v>
      </c>
      <c r="C185" s="73" t="s">
        <v>3981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3980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3996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4005</v>
      </c>
      <c r="B188" s="38">
        <v>-16000</v>
      </c>
      <c r="C188" s="73" t="s">
        <v>4006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4008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4014</v>
      </c>
      <c r="B190" s="38">
        <v>-10350</v>
      </c>
      <c r="C190" s="73" t="s">
        <v>4015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4254</v>
      </c>
      <c r="B191" s="38">
        <v>-5000</v>
      </c>
      <c r="C191" s="73" t="s">
        <v>4255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4"/>
  <sheetViews>
    <sheetView tabSelected="1" topLeftCell="P82" zoomScaleNormal="100" workbookViewId="0">
      <selection activeCell="O45" sqref="O45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4.14062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4153</v>
      </c>
      <c r="AT6" s="99" t="s">
        <v>4184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4160</v>
      </c>
      <c r="AT7" s="99" t="s">
        <v>4185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4175</v>
      </c>
      <c r="AT8" s="99" t="s">
        <v>4186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4358</v>
      </c>
      <c r="AT9" s="99" t="s">
        <v>4359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4381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4360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1157</v>
      </c>
      <c r="K15" s="169" t="s">
        <v>451</v>
      </c>
      <c r="L15" s="169" t="s">
        <v>452</v>
      </c>
      <c r="M15" s="169"/>
      <c r="N15" s="169" t="s">
        <v>751</v>
      </c>
      <c r="P15" s="170">
        <v>3850000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3676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3795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7674381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3958</v>
      </c>
      <c r="K18" s="169" t="s">
        <v>683</v>
      </c>
      <c r="L18" s="117">
        <v>1000000</v>
      </c>
      <c r="M18" s="169" t="s">
        <v>4081</v>
      </c>
      <c r="N18" s="113">
        <v>35695</v>
      </c>
      <c r="Q18" s="169" t="s">
        <v>4304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4140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4380</v>
      </c>
      <c r="V19" s="73" t="s">
        <v>4382</v>
      </c>
      <c r="W19" s="32">
        <v>2</v>
      </c>
      <c r="X19" s="32">
        <v>4</v>
      </c>
      <c r="Y19" s="116"/>
      <c r="Z19" s="115"/>
      <c r="AH19" s="99" t="s">
        <v>3643</v>
      </c>
      <c r="AI19" s="99" t="s">
        <v>180</v>
      </c>
      <c r="AJ19" s="99" t="s">
        <v>267</v>
      </c>
      <c r="AK19" s="69" t="s">
        <v>4061</v>
      </c>
      <c r="AL19" s="69" t="s">
        <v>4053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4141</v>
      </c>
      <c r="K20" s="169"/>
      <c r="L20" s="117"/>
      <c r="M20" s="169" t="s">
        <v>4502</v>
      </c>
      <c r="N20" s="113">
        <v>0</v>
      </c>
      <c r="O20" s="99" t="s">
        <v>937</v>
      </c>
      <c r="P20" s="99" t="s">
        <v>3931</v>
      </c>
      <c r="Q20" s="170">
        <v>9268987</v>
      </c>
      <c r="R20" s="169" t="s">
        <v>4175</v>
      </c>
      <c r="S20" s="196">
        <f>S50</f>
        <v>78</v>
      </c>
      <c r="T20" s="169" t="s">
        <v>4320</v>
      </c>
      <c r="U20" s="169">
        <v>192.1</v>
      </c>
      <c r="V20" s="169">
        <f t="shared" ref="V20:V30" si="4">U20*(1+$N$80+$Q$15*S20/36500)</f>
        <v>205.74594191780824</v>
      </c>
      <c r="W20" s="32">
        <f t="shared" ref="W20:W30" si="5">V20*(1+$W$19/100)</f>
        <v>209.86086075616441</v>
      </c>
      <c r="X20" s="32">
        <f t="shared" ref="X20:X30" si="6">V20*(1+$X$19/100)</f>
        <v>213.97577959452059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247</v>
      </c>
      <c r="AM20" s="113">
        <f>AJ20*AL20</f>
        <v>4446000000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4210</v>
      </c>
      <c r="J21" s="25"/>
      <c r="K21" s="169" t="s">
        <v>4515</v>
      </c>
      <c r="L21" s="117">
        <f>-N33</f>
        <v>77170567.619627878</v>
      </c>
      <c r="M21" s="169" t="s">
        <v>4312</v>
      </c>
      <c r="N21" s="113">
        <f t="shared" ref="N21:N30" si="7">O21*P21</f>
        <v>11187936</v>
      </c>
      <c r="O21" s="99">
        <v>64745</v>
      </c>
      <c r="P21" s="190">
        <f>P44</f>
        <v>172.8</v>
      </c>
      <c r="Q21" s="170">
        <v>1450345</v>
      </c>
      <c r="R21" s="169" t="s">
        <v>4316</v>
      </c>
      <c r="S21" s="196">
        <f>S20-36</f>
        <v>42</v>
      </c>
      <c r="T21" s="169" t="s">
        <v>4321</v>
      </c>
      <c r="U21" s="169">
        <v>313.7</v>
      </c>
      <c r="V21" s="169">
        <f t="shared" si="4"/>
        <v>327.32059616438363</v>
      </c>
      <c r="W21" s="32">
        <f t="shared" si="5"/>
        <v>333.86700808767131</v>
      </c>
      <c r="X21" s="32">
        <f t="shared" si="6"/>
        <v>340.41342001095899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8">AL22+AK21</f>
        <v>246</v>
      </c>
      <c r="AM21" s="113">
        <f t="shared" ref="AM21:AM96" si="9">AJ21*AL21</f>
        <v>615000000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L61</f>
        <v>266834649.61962789</v>
      </c>
      <c r="G22" s="95">
        <f t="shared" si="0"/>
        <v>1139763.0965653956</v>
      </c>
      <c r="H22" s="11"/>
      <c r="I22" s="96"/>
      <c r="J22" s="96"/>
      <c r="K22" s="169" t="s">
        <v>4518</v>
      </c>
      <c r="L22" s="117">
        <f>-'آذر 97'!D49</f>
        <v>-2156049</v>
      </c>
      <c r="M22" s="169" t="s">
        <v>4325</v>
      </c>
      <c r="N22" s="113">
        <f t="shared" si="7"/>
        <v>9719510.4000000004</v>
      </c>
      <c r="O22" s="99">
        <v>33504</v>
      </c>
      <c r="P22" s="190">
        <f>P47</f>
        <v>290.10000000000002</v>
      </c>
      <c r="Q22" s="170">
        <v>400069</v>
      </c>
      <c r="R22" s="169" t="s">
        <v>4322</v>
      </c>
      <c r="S22" s="196">
        <f>S21-1</f>
        <v>41</v>
      </c>
      <c r="T22" s="169" t="s">
        <v>4323</v>
      </c>
      <c r="U22" s="169">
        <v>314.8</v>
      </c>
      <c r="V22" s="169">
        <f t="shared" si="4"/>
        <v>328.22686684931512</v>
      </c>
      <c r="W22" s="32">
        <f t="shared" si="5"/>
        <v>334.79140418630141</v>
      </c>
      <c r="X22" s="32">
        <f t="shared" si="6"/>
        <v>341.35594152328775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8"/>
        <v>245</v>
      </c>
      <c r="AM22" s="113">
        <f t="shared" si="9"/>
        <v>1960000000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 t="s">
        <v>456</v>
      </c>
      <c r="L23" s="117">
        <v>1000</v>
      </c>
      <c r="M23" s="169" t="s">
        <v>4474</v>
      </c>
      <c r="N23" s="113">
        <f t="shared" si="7"/>
        <v>225714.30000000002</v>
      </c>
      <c r="O23" s="99">
        <v>399</v>
      </c>
      <c r="P23" s="190">
        <f>P46</f>
        <v>565.70000000000005</v>
      </c>
      <c r="Q23" s="170">
        <v>8690518</v>
      </c>
      <c r="R23" s="169" t="s">
        <v>4322</v>
      </c>
      <c r="S23" s="196">
        <f>S22</f>
        <v>41</v>
      </c>
      <c r="T23" s="169" t="s">
        <v>4324</v>
      </c>
      <c r="U23" s="169">
        <v>313</v>
      </c>
      <c r="V23" s="169">
        <f t="shared" si="4"/>
        <v>326.35009315068493</v>
      </c>
      <c r="W23" s="32">
        <f t="shared" si="5"/>
        <v>332.87709501369864</v>
      </c>
      <c r="X23" s="32">
        <f t="shared" si="6"/>
        <v>339.40409687671234</v>
      </c>
      <c r="Y23" s="96"/>
      <c r="Z23" s="96"/>
      <c r="AH23" s="99">
        <v>4</v>
      </c>
      <c r="AI23" s="113" t="s">
        <v>4057</v>
      </c>
      <c r="AJ23" s="113">
        <v>-79552</v>
      </c>
      <c r="AK23" s="99">
        <v>1</v>
      </c>
      <c r="AL23" s="99">
        <f t="shared" si="8"/>
        <v>244</v>
      </c>
      <c r="AM23" s="113">
        <f t="shared" si="9"/>
        <v>-19410688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4414</v>
      </c>
      <c r="N24" s="113">
        <f t="shared" si="7"/>
        <v>3578698.1999999997</v>
      </c>
      <c r="O24" s="99">
        <v>781</v>
      </c>
      <c r="P24" s="99">
        <f>P48</f>
        <v>4582.2</v>
      </c>
      <c r="Q24" s="170">
        <v>595156</v>
      </c>
      <c r="R24" s="169" t="s">
        <v>4412</v>
      </c>
      <c r="S24" s="197">
        <f>S23-16</f>
        <v>25</v>
      </c>
      <c r="T24" s="169" t="s">
        <v>4415</v>
      </c>
      <c r="U24" s="169">
        <v>5808.5</v>
      </c>
      <c r="V24" s="169">
        <f t="shared" si="4"/>
        <v>5984.9510904109593</v>
      </c>
      <c r="W24" s="32">
        <f t="shared" si="5"/>
        <v>6104.6501122191785</v>
      </c>
      <c r="X24" s="32">
        <f t="shared" si="6"/>
        <v>6224.3491340273977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8"/>
        <v>243</v>
      </c>
      <c r="AM24" s="113">
        <f t="shared" si="9"/>
        <v>40216500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 t="s">
        <v>4445</v>
      </c>
      <c r="N25" s="113">
        <f t="shared" si="7"/>
        <v>134520.4</v>
      </c>
      <c r="O25" s="69">
        <v>749</v>
      </c>
      <c r="P25" s="99">
        <f>P50</f>
        <v>179.6</v>
      </c>
      <c r="Q25" s="170">
        <v>142593</v>
      </c>
      <c r="R25" s="169" t="s">
        <v>4439</v>
      </c>
      <c r="S25" s="169">
        <f>S24-5</f>
        <v>20</v>
      </c>
      <c r="T25" s="169" t="s">
        <v>4448</v>
      </c>
      <c r="U25" s="169">
        <v>189.5</v>
      </c>
      <c r="V25" s="169">
        <f t="shared" si="4"/>
        <v>194.52979726027399</v>
      </c>
      <c r="W25" s="32">
        <f t="shared" si="5"/>
        <v>198.42039320547948</v>
      </c>
      <c r="X25" s="32">
        <f t="shared" si="6"/>
        <v>202.31098915068497</v>
      </c>
      <c r="Y25" s="96"/>
      <c r="Z25" s="96" t="s">
        <v>25</v>
      </c>
      <c r="AH25" s="99">
        <v>6</v>
      </c>
      <c r="AI25" s="113" t="s">
        <v>1158</v>
      </c>
      <c r="AJ25" s="113">
        <v>-28830327</v>
      </c>
      <c r="AK25" s="99">
        <v>6</v>
      </c>
      <c r="AL25" s="99">
        <f t="shared" si="8"/>
        <v>231</v>
      </c>
      <c r="AM25" s="113">
        <f t="shared" si="9"/>
        <v>-6659805537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69"/>
      <c r="N26" s="113"/>
      <c r="O26" s="69"/>
      <c r="P26" s="99"/>
      <c r="Q26" s="170">
        <v>1484689</v>
      </c>
      <c r="R26" s="169" t="s">
        <v>4459</v>
      </c>
      <c r="S26" s="169">
        <f>S25-2</f>
        <v>18</v>
      </c>
      <c r="T26" s="19" t="s">
        <v>4463</v>
      </c>
      <c r="U26" s="169">
        <v>5474</v>
      </c>
      <c r="V26" s="169">
        <f t="shared" si="4"/>
        <v>5610.8949917808222</v>
      </c>
      <c r="W26" s="32">
        <f t="shared" si="5"/>
        <v>5723.1128916164389</v>
      </c>
      <c r="X26" s="32">
        <f t="shared" si="6"/>
        <v>5835.3307914520556</v>
      </c>
      <c r="Y26" s="96"/>
      <c r="Z26" s="96"/>
      <c r="AH26" s="99">
        <v>7</v>
      </c>
      <c r="AI26" s="113" t="s">
        <v>1183</v>
      </c>
      <c r="AJ26" s="113">
        <v>18500000</v>
      </c>
      <c r="AK26" s="99">
        <v>1</v>
      </c>
      <c r="AL26" s="99">
        <f t="shared" si="8"/>
        <v>225</v>
      </c>
      <c r="AM26" s="113">
        <f t="shared" si="9"/>
        <v>4162500000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94" t="s">
        <v>4504</v>
      </c>
      <c r="N27" s="113">
        <v>0</v>
      </c>
      <c r="O27" s="69"/>
      <c r="P27" s="99"/>
      <c r="Q27" s="170">
        <v>2197673</v>
      </c>
      <c r="R27" s="169" t="s">
        <v>4459</v>
      </c>
      <c r="S27" s="169">
        <f>S26</f>
        <v>18</v>
      </c>
      <c r="T27" s="19" t="s">
        <v>4464</v>
      </c>
      <c r="U27" s="169">
        <v>5349</v>
      </c>
      <c r="V27" s="169">
        <f t="shared" si="4"/>
        <v>5482.768964383562</v>
      </c>
      <c r="W27" s="32">
        <f t="shared" si="5"/>
        <v>5592.4243436712331</v>
      </c>
      <c r="X27" s="32">
        <f t="shared" si="6"/>
        <v>5702.0797229589043</v>
      </c>
      <c r="Y27" s="96"/>
      <c r="Z27" s="96"/>
      <c r="AH27" s="99">
        <v>8</v>
      </c>
      <c r="AI27" s="113" t="s">
        <v>1192</v>
      </c>
      <c r="AJ27" s="113">
        <v>-18550000</v>
      </c>
      <c r="AK27" s="99">
        <v>1</v>
      </c>
      <c r="AL27" s="99">
        <f t="shared" si="8"/>
        <v>224</v>
      </c>
      <c r="AM27" s="113">
        <f t="shared" si="9"/>
        <v>-4155200000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/>
      <c r="L28" s="117"/>
      <c r="M28" s="194" t="s">
        <v>4470</v>
      </c>
      <c r="N28" s="113">
        <f t="shared" si="7"/>
        <v>978220.8</v>
      </c>
      <c r="O28" s="69">
        <v>5661</v>
      </c>
      <c r="P28" s="99">
        <f>P44</f>
        <v>172.8</v>
      </c>
      <c r="Q28" s="170">
        <v>1353959</v>
      </c>
      <c r="R28" s="169" t="s">
        <v>4459</v>
      </c>
      <c r="S28" s="204">
        <f>S27</f>
        <v>18</v>
      </c>
      <c r="T28" s="19" t="s">
        <v>4520</v>
      </c>
      <c r="U28" s="169">
        <v>192.2</v>
      </c>
      <c r="V28" s="169">
        <f t="shared" si="4"/>
        <v>197.00657972602741</v>
      </c>
      <c r="W28" s="32">
        <f t="shared" si="5"/>
        <v>200.94671132054796</v>
      </c>
      <c r="X28" s="32">
        <f t="shared" si="6"/>
        <v>204.88684291506851</v>
      </c>
      <c r="Y28" s="96"/>
      <c r="Z28" s="96"/>
      <c r="AH28" s="99">
        <v>9</v>
      </c>
      <c r="AI28" s="113" t="s">
        <v>1199</v>
      </c>
      <c r="AJ28" s="113">
        <v>-64961</v>
      </c>
      <c r="AK28" s="99">
        <v>5</v>
      </c>
      <c r="AL28" s="99">
        <f t="shared" si="8"/>
        <v>223</v>
      </c>
      <c r="AM28" s="113">
        <f t="shared" si="9"/>
        <v>-14486303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/>
      <c r="L29" s="117"/>
      <c r="M29" s="194" t="s">
        <v>4455</v>
      </c>
      <c r="N29" s="113">
        <f t="shared" si="7"/>
        <v>1642621.5999999999</v>
      </c>
      <c r="O29" s="36">
        <v>9146</v>
      </c>
      <c r="P29" s="99">
        <f>P50</f>
        <v>179.6</v>
      </c>
      <c r="Q29" s="170">
        <v>1799855</v>
      </c>
      <c r="R29" s="169" t="s">
        <v>4468</v>
      </c>
      <c r="S29" s="169">
        <f>S28-3</f>
        <v>15</v>
      </c>
      <c r="T29" s="19" t="s">
        <v>4556</v>
      </c>
      <c r="U29" s="169">
        <v>184.6</v>
      </c>
      <c r="V29" s="169">
        <f t="shared" si="4"/>
        <v>188.79168438356166</v>
      </c>
      <c r="W29" s="32">
        <f t="shared" si="5"/>
        <v>192.56751807123288</v>
      </c>
      <c r="X29" s="32">
        <f t="shared" si="6"/>
        <v>196.34335175890413</v>
      </c>
      <c r="Y29" s="96"/>
      <c r="Z29" s="96"/>
      <c r="AH29" s="99">
        <v>10</v>
      </c>
      <c r="AI29" s="113" t="s">
        <v>1215</v>
      </c>
      <c r="AJ29" s="113">
        <v>6400000</v>
      </c>
      <c r="AK29" s="99">
        <v>1</v>
      </c>
      <c r="AL29" s="99">
        <f t="shared" si="8"/>
        <v>218</v>
      </c>
      <c r="AM29" s="113">
        <f t="shared" si="9"/>
        <v>1395200000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/>
      <c r="L30" s="117"/>
      <c r="M30" s="194" t="s">
        <v>4477</v>
      </c>
      <c r="N30" s="113">
        <f t="shared" si="7"/>
        <v>225148.6</v>
      </c>
      <c r="O30" s="36">
        <v>398</v>
      </c>
      <c r="P30" s="99">
        <f>P46</f>
        <v>565.70000000000005</v>
      </c>
      <c r="Q30" s="170">
        <v>146296</v>
      </c>
      <c r="R30" s="169" t="s">
        <v>4472</v>
      </c>
      <c r="S30" s="203">
        <f>S29-2</f>
        <v>13</v>
      </c>
      <c r="T30" s="169" t="s">
        <v>4473</v>
      </c>
      <c r="U30" s="169">
        <v>365</v>
      </c>
      <c r="V30" s="169">
        <f t="shared" si="4"/>
        <v>372.72800000000001</v>
      </c>
      <c r="W30" s="32">
        <f t="shared" si="5"/>
        <v>380.18256000000002</v>
      </c>
      <c r="X30" s="32">
        <f t="shared" si="6"/>
        <v>387.63712000000004</v>
      </c>
      <c r="Y30" s="96"/>
      <c r="Z30" s="96"/>
      <c r="AH30" s="99">
        <v>11</v>
      </c>
      <c r="AI30" s="113" t="s">
        <v>4058</v>
      </c>
      <c r="AJ30" s="113">
        <v>-170000</v>
      </c>
      <c r="AK30" s="99">
        <v>5</v>
      </c>
      <c r="AL30" s="99">
        <f t="shared" si="8"/>
        <v>217</v>
      </c>
      <c r="AM30" s="113">
        <f t="shared" si="9"/>
        <v>-36890000</v>
      </c>
      <c r="AN30" s="99"/>
      <c r="AP30" s="96"/>
      <c r="AQ30" s="99" t="s">
        <v>1134</v>
      </c>
      <c r="AR30" s="99" t="s">
        <v>4246</v>
      </c>
      <c r="AS30" s="99" t="s">
        <v>937</v>
      </c>
      <c r="AT30" s="99" t="s">
        <v>180</v>
      </c>
      <c r="AU30" s="69" t="s">
        <v>8</v>
      </c>
      <c r="AV30" s="69" t="s">
        <v>267</v>
      </c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25</v>
      </c>
      <c r="L31" s="117"/>
      <c r="M31" s="169"/>
      <c r="N31" s="113"/>
      <c r="P31" t="s">
        <v>25</v>
      </c>
      <c r="Q31" s="170"/>
      <c r="R31" s="169"/>
      <c r="S31" s="169"/>
      <c r="T31" s="169"/>
      <c r="U31" s="169"/>
      <c r="V31" s="169"/>
      <c r="W31" s="32"/>
      <c r="X31" s="32"/>
      <c r="Y31" s="96"/>
      <c r="Z31" s="96"/>
      <c r="AH31" s="99">
        <v>12</v>
      </c>
      <c r="AI31" s="113" t="s">
        <v>1235</v>
      </c>
      <c r="AJ31" s="113">
        <v>-6300000</v>
      </c>
      <c r="AK31" s="99">
        <v>1</v>
      </c>
      <c r="AL31" s="99">
        <f>AL32+AK31</f>
        <v>212</v>
      </c>
      <c r="AM31" s="113">
        <f t="shared" si="9"/>
        <v>-1335600000</v>
      </c>
      <c r="AN31" s="99"/>
      <c r="AP31" s="96"/>
      <c r="AQ31" s="99">
        <v>1</v>
      </c>
      <c r="AR31" s="170" t="s">
        <v>4247</v>
      </c>
      <c r="AS31" s="99">
        <v>18290</v>
      </c>
      <c r="AT31" s="99" t="s">
        <v>4175</v>
      </c>
      <c r="AU31" s="99" t="s">
        <v>4248</v>
      </c>
      <c r="AV31" s="170">
        <v>3465500</v>
      </c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25</v>
      </c>
      <c r="L32" s="117"/>
      <c r="M32" s="169" t="s">
        <v>756</v>
      </c>
      <c r="N32" s="113">
        <v>3000000</v>
      </c>
      <c r="O32" t="s">
        <v>25</v>
      </c>
      <c r="P32" t="s">
        <v>25</v>
      </c>
      <c r="Q32" s="170">
        <f>SUM(N21:N25)-SUM(Q20:Q31)</f>
        <v>-2683760.700000003</v>
      </c>
      <c r="R32" s="169"/>
      <c r="S32" s="169" t="s">
        <v>25</v>
      </c>
      <c r="T32" s="169"/>
      <c r="U32" s="169"/>
      <c r="V32" s="169"/>
      <c r="W32" s="32"/>
      <c r="X32" s="32"/>
      <c r="Y32" s="96"/>
      <c r="Z32" s="96"/>
      <c r="AH32" s="99">
        <v>13</v>
      </c>
      <c r="AI32" s="113" t="s">
        <v>1244</v>
      </c>
      <c r="AJ32" s="113">
        <v>-52015</v>
      </c>
      <c r="AK32" s="99">
        <v>16</v>
      </c>
      <c r="AL32" s="99">
        <f t="shared" si="8"/>
        <v>211</v>
      </c>
      <c r="AM32" s="113">
        <f t="shared" si="9"/>
        <v>-10975165</v>
      </c>
      <c r="AN32" s="99"/>
      <c r="AP32" s="96"/>
      <c r="AQ32" s="99">
        <v>2</v>
      </c>
      <c r="AR32" s="170" t="s">
        <v>4247</v>
      </c>
      <c r="AS32" s="99">
        <v>-24813</v>
      </c>
      <c r="AT32" s="99" t="s">
        <v>4244</v>
      </c>
      <c r="AU32" s="99" t="s">
        <v>4249</v>
      </c>
      <c r="AV32" s="170">
        <v>4995629</v>
      </c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918</v>
      </c>
      <c r="L33" s="117">
        <v>4800000</v>
      </c>
      <c r="M33" s="169" t="s">
        <v>4152</v>
      </c>
      <c r="N33" s="113">
        <f>-S90</f>
        <v>-77170567.619627878</v>
      </c>
      <c r="O33" s="96" t="s">
        <v>25</v>
      </c>
      <c r="P33" s="96" t="s">
        <v>25</v>
      </c>
      <c r="R33" s="115"/>
      <c r="S33" s="115"/>
      <c r="T33" s="115"/>
      <c r="U33" s="115"/>
      <c r="V33" s="115"/>
      <c r="W33" s="200"/>
      <c r="X33" s="200"/>
      <c r="Y33" s="96"/>
      <c r="Z33" s="96"/>
      <c r="AH33" s="99">
        <v>14</v>
      </c>
      <c r="AI33" s="113" t="s">
        <v>3710</v>
      </c>
      <c r="AJ33" s="113">
        <v>20017400</v>
      </c>
      <c r="AK33" s="99">
        <v>0</v>
      </c>
      <c r="AL33" s="99">
        <f t="shared" si="8"/>
        <v>195</v>
      </c>
      <c r="AM33" s="113">
        <f t="shared" si="9"/>
        <v>3903393000</v>
      </c>
      <c r="AN33" s="99"/>
      <c r="AP33" s="96"/>
      <c r="AQ33" s="99">
        <v>3</v>
      </c>
      <c r="AR33" s="170" t="s">
        <v>4247</v>
      </c>
      <c r="AS33" s="99">
        <v>26189</v>
      </c>
      <c r="AT33" s="99" t="s">
        <v>4264</v>
      </c>
      <c r="AU33" s="99" t="s">
        <v>4265</v>
      </c>
      <c r="AV33" s="170">
        <v>5006890</v>
      </c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/>
      <c r="L34" s="117"/>
      <c r="M34" s="169" t="s">
        <v>753</v>
      </c>
      <c r="N34" s="113">
        <v>500000</v>
      </c>
      <c r="O34" s="96"/>
      <c r="P34" s="96"/>
      <c r="Q34" s="96"/>
      <c r="R34" s="115"/>
      <c r="S34" s="115"/>
      <c r="T34" s="115"/>
      <c r="U34" s="115"/>
      <c r="V34" s="115"/>
      <c r="W34" s="200"/>
      <c r="X34" s="200"/>
      <c r="Y34" s="96"/>
      <c r="Z34" s="96"/>
      <c r="AH34" s="99">
        <v>15</v>
      </c>
      <c r="AI34" s="113" t="s">
        <v>3710</v>
      </c>
      <c r="AJ34" s="113">
        <v>1014466</v>
      </c>
      <c r="AK34" s="99">
        <v>12</v>
      </c>
      <c r="AL34" s="99">
        <f t="shared" si="8"/>
        <v>195</v>
      </c>
      <c r="AM34" s="113">
        <f t="shared" si="9"/>
        <v>197820870</v>
      </c>
      <c r="AN34" s="99"/>
      <c r="AP34" s="96"/>
      <c r="AQ34" s="99">
        <v>4</v>
      </c>
      <c r="AR34" s="170" t="s">
        <v>4247</v>
      </c>
      <c r="AS34" s="99">
        <v>-9552</v>
      </c>
      <c r="AT34" s="99" t="s">
        <v>4481</v>
      </c>
      <c r="AU34" s="99" t="s">
        <v>4538</v>
      </c>
      <c r="AV34" s="170">
        <v>1648594</v>
      </c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10">E34*$L$2+C35-D35</f>
        <v>358188786.24271059</v>
      </c>
      <c r="F35" s="3"/>
      <c r="G35" s="11"/>
      <c r="H35" s="11"/>
      <c r="K35" s="169" t="s">
        <v>1086</v>
      </c>
      <c r="L35" s="117">
        <f>61*P15</f>
        <v>234850000</v>
      </c>
      <c r="M35" s="169" t="s">
        <v>760</v>
      </c>
      <c r="N35" s="113">
        <v>1200000</v>
      </c>
      <c r="O35" t="s">
        <v>25</v>
      </c>
      <c r="P35" t="s">
        <v>25</v>
      </c>
      <c r="Q35" s="169" t="s">
        <v>657</v>
      </c>
      <c r="R35" s="169"/>
      <c r="S35" s="169"/>
      <c r="T35" s="169"/>
      <c r="U35" s="169"/>
      <c r="V35" s="169"/>
      <c r="W35" s="32"/>
      <c r="X35" s="32"/>
      <c r="Y35" s="96"/>
      <c r="Z35" s="96"/>
      <c r="AH35" s="99">
        <v>16</v>
      </c>
      <c r="AI35" s="113" t="s">
        <v>1146</v>
      </c>
      <c r="AJ35" s="113">
        <v>360000</v>
      </c>
      <c r="AK35" s="99">
        <v>2</v>
      </c>
      <c r="AL35" s="99">
        <f t="shared" si="8"/>
        <v>183</v>
      </c>
      <c r="AM35" s="113">
        <f t="shared" si="9"/>
        <v>65880000</v>
      </c>
      <c r="AN35" s="99"/>
      <c r="AP35" s="96"/>
      <c r="AQ35" s="99">
        <v>5</v>
      </c>
      <c r="AR35" s="170" t="s">
        <v>4247</v>
      </c>
      <c r="AS35" s="99">
        <v>-5492</v>
      </c>
      <c r="AT35" s="99" t="s">
        <v>4531</v>
      </c>
      <c r="AU35" s="99" t="s">
        <v>4537</v>
      </c>
      <c r="AV35" s="170"/>
      <c r="AW35" s="96"/>
      <c r="AX35" s="96"/>
      <c r="AY35" s="96"/>
      <c r="AZ35" s="96"/>
      <c r="BA35" s="96"/>
      <c r="BB35" s="96"/>
    </row>
    <row r="36" spans="1:54" ht="30">
      <c r="A36" s="61">
        <v>98</v>
      </c>
      <c r="B36" s="11">
        <v>34</v>
      </c>
      <c r="C36" s="3">
        <f t="shared" ref="C36:C62" si="11">C35*$K$2</f>
        <v>4498230.5822681794</v>
      </c>
      <c r="D36" s="3">
        <f t="shared" ref="D36:D62" si="12">D35*$K$2</f>
        <v>3654042.1031301799</v>
      </c>
      <c r="E36" s="3">
        <f t="shared" si="10"/>
        <v>366196750.44670284</v>
      </c>
      <c r="F36" s="3"/>
      <c r="G36" s="11"/>
      <c r="H36" s="11"/>
      <c r="K36" s="169" t="s">
        <v>4486</v>
      </c>
      <c r="L36" s="117">
        <v>-50000000</v>
      </c>
      <c r="M36" s="73"/>
      <c r="N36" s="113"/>
      <c r="O36" s="96"/>
      <c r="P36" s="96"/>
      <c r="Q36" s="169" t="s">
        <v>267</v>
      </c>
      <c r="R36" s="169" t="s">
        <v>180</v>
      </c>
      <c r="S36" s="169" t="s">
        <v>183</v>
      </c>
      <c r="T36" s="169" t="s">
        <v>8</v>
      </c>
      <c r="U36" s="169" t="s">
        <v>4380</v>
      </c>
      <c r="V36" s="73" t="s">
        <v>4382</v>
      </c>
      <c r="W36" s="32">
        <v>2</v>
      </c>
      <c r="X36" s="32">
        <v>4</v>
      </c>
      <c r="Y36" s="96"/>
      <c r="Z36" s="96"/>
      <c r="AH36" s="99">
        <v>17</v>
      </c>
      <c r="AI36" s="113" t="s">
        <v>3770</v>
      </c>
      <c r="AJ36" s="113">
        <v>-350000</v>
      </c>
      <c r="AK36" s="99">
        <v>0</v>
      </c>
      <c r="AL36" s="99">
        <f t="shared" si="8"/>
        <v>181</v>
      </c>
      <c r="AM36" s="113">
        <f t="shared" si="9"/>
        <v>-63350000</v>
      </c>
      <c r="AN36" s="99"/>
      <c r="AP36" s="96"/>
      <c r="AQ36" s="183"/>
      <c r="AR36" s="184" t="s">
        <v>4250</v>
      </c>
      <c r="AS36" s="183"/>
      <c r="AT36" s="183"/>
      <c r="AU36" s="183"/>
      <c r="AV36" s="184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11"/>
        <v>4543212.888090861</v>
      </c>
      <c r="D37" s="3">
        <f t="shared" si="12"/>
        <v>3690582.5241614818</v>
      </c>
      <c r="E37" s="3">
        <f t="shared" si="10"/>
        <v>374373315.81956631</v>
      </c>
      <c r="F37" s="3"/>
      <c r="G37" s="11"/>
      <c r="H37" s="11"/>
      <c r="K37" s="169" t="s">
        <v>4336</v>
      </c>
      <c r="L37" s="117">
        <v>-2000000</v>
      </c>
      <c r="M37" s="169" t="s">
        <v>1086</v>
      </c>
      <c r="N37" s="113">
        <f>65*P15</f>
        <v>250250000</v>
      </c>
      <c r="O37" s="96"/>
      <c r="P37" s="96"/>
      <c r="Q37" s="169">
        <v>0</v>
      </c>
      <c r="R37" s="169" t="s">
        <v>4175</v>
      </c>
      <c r="S37" s="169">
        <f>S50</f>
        <v>78</v>
      </c>
      <c r="T37" s="169"/>
      <c r="U37" s="169"/>
      <c r="V37" s="73"/>
      <c r="W37" s="32"/>
      <c r="X37" s="32"/>
      <c r="Y37" s="96"/>
      <c r="Z37" s="96"/>
      <c r="AH37" s="99">
        <v>18</v>
      </c>
      <c r="AI37" s="113" t="s">
        <v>3770</v>
      </c>
      <c r="AJ37" s="113">
        <v>1000</v>
      </c>
      <c r="AK37" s="99">
        <v>1</v>
      </c>
      <c r="AL37" s="99">
        <f t="shared" si="8"/>
        <v>181</v>
      </c>
      <c r="AM37" s="113">
        <f t="shared" si="9"/>
        <v>181000</v>
      </c>
      <c r="AN37" s="99"/>
      <c r="AP37" s="96"/>
      <c r="AQ37" s="183"/>
      <c r="AR37" s="184" t="s">
        <v>4247</v>
      </c>
      <c r="AS37" s="183">
        <f>SUM(AS31:AS35)</f>
        <v>4622</v>
      </c>
      <c r="AT37" s="183" t="s">
        <v>4481</v>
      </c>
      <c r="AU37" s="183" t="s">
        <v>4266</v>
      </c>
      <c r="AV37" s="184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11"/>
        <v>4588645.0169717697</v>
      </c>
      <c r="D38" s="3">
        <f t="shared" si="12"/>
        <v>3727488.3494030968</v>
      </c>
      <c r="E38" s="46">
        <f t="shared" si="10"/>
        <v>382721938.80352634</v>
      </c>
      <c r="F38" s="3"/>
      <c r="G38" s="11"/>
      <c r="H38" s="11"/>
      <c r="K38" s="169"/>
      <c r="L38" s="117"/>
      <c r="M38" s="169" t="s">
        <v>4484</v>
      </c>
      <c r="N38" s="113">
        <v>-20000000</v>
      </c>
      <c r="O38" s="96"/>
      <c r="P38" s="96"/>
      <c r="Q38" s="170">
        <v>1734776</v>
      </c>
      <c r="R38" s="169" t="s">
        <v>4453</v>
      </c>
      <c r="S38" s="169">
        <f>S37-59</f>
        <v>19</v>
      </c>
      <c r="T38" s="195" t="s">
        <v>4454</v>
      </c>
      <c r="U38" s="169">
        <v>188.8</v>
      </c>
      <c r="V38" s="169">
        <f>U38*(1+$N$80+$Q$15*S38/36500)</f>
        <v>193.66638465753425</v>
      </c>
      <c r="W38" s="32">
        <f>V38*(1+$W$19/100)</f>
        <v>197.53971235068494</v>
      </c>
      <c r="X38" s="32">
        <f>V38*(1+$X$19/100)</f>
        <v>201.41304004383562</v>
      </c>
      <c r="Y38" s="96"/>
      <c r="Z38" s="96"/>
      <c r="AH38" s="99">
        <v>19</v>
      </c>
      <c r="AI38" s="113" t="s">
        <v>3774</v>
      </c>
      <c r="AJ38" s="113">
        <v>33610000</v>
      </c>
      <c r="AK38" s="99">
        <v>4</v>
      </c>
      <c r="AL38" s="99">
        <f t="shared" si="8"/>
        <v>180</v>
      </c>
      <c r="AM38" s="113">
        <f t="shared" si="9"/>
        <v>6049800000</v>
      </c>
      <c r="AN38" s="99"/>
      <c r="AP38" s="96"/>
      <c r="AQ38" s="183"/>
      <c r="AR38" s="184"/>
      <c r="AS38" s="183"/>
      <c r="AT38" s="183"/>
      <c r="AU38" s="183"/>
      <c r="AV38" s="184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11"/>
        <v>4634531.4671414876</v>
      </c>
      <c r="D39" s="3">
        <f t="shared" si="12"/>
        <v>3764763.232897128</v>
      </c>
      <c r="E39" s="3">
        <f t="shared" si="10"/>
        <v>391246145.81384128</v>
      </c>
      <c r="F39" s="3"/>
      <c r="G39" s="11"/>
      <c r="H39" s="11"/>
      <c r="K39" s="169"/>
      <c r="L39" s="117"/>
      <c r="M39" s="169" t="s">
        <v>4485</v>
      </c>
      <c r="N39" s="113">
        <v>-50000000</v>
      </c>
      <c r="O39" s="96"/>
      <c r="P39" s="96"/>
      <c r="Q39" s="170">
        <v>1049300</v>
      </c>
      <c r="R39" s="169" t="s">
        <v>4468</v>
      </c>
      <c r="S39" s="169">
        <f>S38-4</f>
        <v>15</v>
      </c>
      <c r="T39" s="195" t="s">
        <v>4469</v>
      </c>
      <c r="U39" s="169">
        <v>184.6</v>
      </c>
      <c r="V39" s="169">
        <f>U39*(1+$N$80+$Q$15*S39/36500)</f>
        <v>188.79168438356166</v>
      </c>
      <c r="W39" s="32">
        <f>V39*(1+$W$19/100)</f>
        <v>192.56751807123288</v>
      </c>
      <c r="X39" s="32">
        <f>V39*(1+$X$19/100)</f>
        <v>196.34335175890413</v>
      </c>
      <c r="Y39" s="96"/>
      <c r="Z39" s="96"/>
      <c r="AA39" s="96"/>
      <c r="AB39" s="96"/>
      <c r="AC39" s="96"/>
      <c r="AD39" s="96"/>
      <c r="AH39" s="99">
        <v>20</v>
      </c>
      <c r="AI39" s="113" t="s">
        <v>4059</v>
      </c>
      <c r="AJ39" s="113">
        <v>-15600000</v>
      </c>
      <c r="AK39" s="99">
        <v>3</v>
      </c>
      <c r="AL39" s="99">
        <f t="shared" si="8"/>
        <v>176</v>
      </c>
      <c r="AM39" s="113">
        <f t="shared" si="9"/>
        <v>-2745600000</v>
      </c>
      <c r="AN39" s="99"/>
      <c r="AP39" s="96"/>
      <c r="AQ39" s="99"/>
      <c r="AR39" s="170"/>
      <c r="AS39" s="99"/>
      <c r="AT39" s="99"/>
      <c r="AU39" s="99"/>
      <c r="AV39" s="170"/>
      <c r="AW39" s="96"/>
      <c r="AX39" s="96"/>
      <c r="AY39" s="96"/>
      <c r="AZ39" s="96"/>
      <c r="BA39" s="96"/>
      <c r="BB39" s="96"/>
    </row>
    <row r="40" spans="1:54" ht="18.75">
      <c r="A40" s="62">
        <v>99</v>
      </c>
      <c r="B40" s="11">
        <v>38</v>
      </c>
      <c r="C40" s="44">
        <f t="shared" si="11"/>
        <v>4680876.7818129025</v>
      </c>
      <c r="D40" s="3">
        <f t="shared" si="12"/>
        <v>3802410.8652260993</v>
      </c>
      <c r="E40" s="3">
        <f t="shared" si="10"/>
        <v>399949534.64670491</v>
      </c>
      <c r="F40" s="3"/>
      <c r="G40" s="11"/>
      <c r="H40" s="11"/>
      <c r="K40" s="99" t="s">
        <v>4435</v>
      </c>
      <c r="L40" s="117">
        <v>3000000</v>
      </c>
      <c r="M40" s="169"/>
      <c r="N40" s="113"/>
      <c r="O40" s="96"/>
      <c r="P40" s="96"/>
      <c r="Q40" s="170">
        <v>145929</v>
      </c>
      <c r="R40" s="169" t="s">
        <v>4472</v>
      </c>
      <c r="S40" s="203">
        <f>S39-2</f>
        <v>13</v>
      </c>
      <c r="T40" s="194" t="s">
        <v>4476</v>
      </c>
      <c r="U40" s="169">
        <v>365</v>
      </c>
      <c r="V40" s="169">
        <f>U40*(1+$N$80+$Q$15*S40/36500)</f>
        <v>372.72800000000001</v>
      </c>
      <c r="W40" s="32">
        <f>V40*(1+$W$19/100)</f>
        <v>380.18256000000002</v>
      </c>
      <c r="X40" s="32">
        <f>V40*(1+$X$19/100)</f>
        <v>387.63712000000004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3788</v>
      </c>
      <c r="AJ40" s="113">
        <v>7500000</v>
      </c>
      <c r="AK40" s="99">
        <v>4</v>
      </c>
      <c r="AL40" s="99">
        <f t="shared" si="8"/>
        <v>173</v>
      </c>
      <c r="AM40" s="113">
        <f t="shared" si="9"/>
        <v>1297500000</v>
      </c>
      <c r="AN40" s="99"/>
      <c r="AP40" s="96"/>
      <c r="AQ40" s="99"/>
      <c r="AR40" s="170"/>
      <c r="AS40" s="99"/>
      <c r="AT40" s="180"/>
      <c r="AU40" s="99"/>
      <c r="AV40" s="170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11"/>
        <v>4727685.5496310312</v>
      </c>
      <c r="D41" s="3">
        <f t="shared" si="12"/>
        <v>3840434.9738783604</v>
      </c>
      <c r="E41" s="3">
        <f t="shared" si="10"/>
        <v>408835775.91539168</v>
      </c>
      <c r="F41" s="3"/>
      <c r="G41" s="11"/>
      <c r="H41" s="11"/>
      <c r="K41" s="99"/>
      <c r="L41" s="117"/>
      <c r="M41" s="169" t="s">
        <v>4503</v>
      </c>
      <c r="N41" s="113">
        <v>267896</v>
      </c>
      <c r="Q41" s="170"/>
      <c r="R41" s="169"/>
      <c r="S41" s="26"/>
      <c r="T41" s="26"/>
      <c r="U41" s="169"/>
      <c r="V41" s="169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4060</v>
      </c>
      <c r="AJ41" s="113">
        <v>-98000</v>
      </c>
      <c r="AK41" s="99">
        <v>1</v>
      </c>
      <c r="AL41" s="99">
        <f t="shared" si="8"/>
        <v>169</v>
      </c>
      <c r="AM41" s="113">
        <f t="shared" si="9"/>
        <v>-16562000</v>
      </c>
      <c r="AN41" s="99"/>
      <c r="AP41" s="96"/>
      <c r="AQ41" s="99"/>
      <c r="AR41" s="99"/>
      <c r="AS41" s="99"/>
      <c r="AT41" s="99"/>
      <c r="AU41" s="99"/>
      <c r="AV41" s="170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1"/>
        <v>4774962.4051273419</v>
      </c>
      <c r="D42" s="3">
        <f t="shared" si="12"/>
        <v>3878839.323617144</v>
      </c>
      <c r="E42" s="3">
        <f t="shared" si="10"/>
        <v>417908614.51520973</v>
      </c>
      <c r="F42" s="3"/>
      <c r="G42" s="11"/>
      <c r="H42" s="11"/>
      <c r="K42" s="56"/>
      <c r="L42" s="117"/>
      <c r="M42" s="169"/>
      <c r="N42" s="113"/>
      <c r="O42" s="99"/>
      <c r="P42" s="99"/>
      <c r="Q42" s="113">
        <f>SUM(N28:N30)-SUM(Q37:Q40)</f>
        <v>-84014</v>
      </c>
      <c r="R42" s="169"/>
      <c r="S42" s="169"/>
      <c r="T42" s="169"/>
      <c r="U42" s="169"/>
      <c r="V42" s="169"/>
      <c r="W42" s="32"/>
      <c r="X42" s="32"/>
      <c r="Y42" s="115"/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4054</v>
      </c>
      <c r="AJ42" s="113">
        <v>-26000000</v>
      </c>
      <c r="AK42" s="99">
        <v>0</v>
      </c>
      <c r="AL42" s="99">
        <f t="shared" si="8"/>
        <v>168</v>
      </c>
      <c r="AM42" s="113">
        <f t="shared" si="9"/>
        <v>-4368000000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1"/>
        <v>4822712.0291786157</v>
      </c>
      <c r="D43" s="3">
        <f t="shared" si="12"/>
        <v>3917627.7168533155</v>
      </c>
      <c r="E43" s="3">
        <f t="shared" si="10"/>
        <v>427171871.11783922</v>
      </c>
      <c r="F43" s="3"/>
      <c r="G43" s="11"/>
      <c r="H43" s="11"/>
      <c r="K43" s="56" t="s">
        <v>4487</v>
      </c>
      <c r="L43" s="117">
        <v>145929</v>
      </c>
      <c r="M43" s="32" t="s">
        <v>4410</v>
      </c>
      <c r="N43" s="113">
        <f t="shared" ref="N43:N51" si="13">O43*P43</f>
        <v>2023937.5</v>
      </c>
      <c r="O43" s="99">
        <v>611</v>
      </c>
      <c r="P43" s="99">
        <v>3312.5</v>
      </c>
      <c r="R43" s="115"/>
      <c r="S43" s="115"/>
      <c r="T43" s="115" t="s">
        <v>25</v>
      </c>
      <c r="U43" s="115"/>
      <c r="V43" s="115"/>
      <c r="W43" s="200"/>
      <c r="X43" s="200"/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4054</v>
      </c>
      <c r="AJ43" s="113">
        <v>25000000</v>
      </c>
      <c r="AK43" s="99">
        <v>1</v>
      </c>
      <c r="AL43" s="99">
        <f t="shared" si="8"/>
        <v>168</v>
      </c>
      <c r="AM43" s="113">
        <f t="shared" si="9"/>
        <v>4200000000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1"/>
        <v>4870939.1494704019</v>
      </c>
      <c r="D44" s="3">
        <f t="shared" si="12"/>
        <v>3956803.9940218488</v>
      </c>
      <c r="E44" s="3">
        <f t="shared" si="10"/>
        <v>436629443.69564456</v>
      </c>
      <c r="F44" s="3"/>
      <c r="G44" s="11"/>
      <c r="H44" s="11"/>
      <c r="K44" s="56"/>
      <c r="L44" s="117"/>
      <c r="M44" s="169" t="s">
        <v>4182</v>
      </c>
      <c r="N44" s="113">
        <f t="shared" si="13"/>
        <v>192507840</v>
      </c>
      <c r="O44" s="99">
        <v>1114050</v>
      </c>
      <c r="P44" s="99">
        <v>172.8</v>
      </c>
      <c r="Q44" t="s">
        <v>25</v>
      </c>
      <c r="S44" s="26" t="s">
        <v>25</v>
      </c>
      <c r="T44" t="s">
        <v>25</v>
      </c>
      <c r="U44" s="96" t="s">
        <v>25</v>
      </c>
      <c r="V44" s="115" t="s">
        <v>25</v>
      </c>
      <c r="W44" s="200"/>
      <c r="X44" s="200"/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4055</v>
      </c>
      <c r="AJ44" s="113">
        <v>110000</v>
      </c>
      <c r="AK44" s="99">
        <v>1</v>
      </c>
      <c r="AL44" s="99">
        <f t="shared" si="8"/>
        <v>167</v>
      </c>
      <c r="AM44" s="113">
        <f t="shared" si="9"/>
        <v>18370000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1"/>
        <v>4919648.5409651063</v>
      </c>
      <c r="D45" s="3">
        <f t="shared" si="12"/>
        <v>3996372.0339620672</v>
      </c>
      <c r="E45" s="3">
        <f t="shared" si="10"/>
        <v>446285309.07656044</v>
      </c>
      <c r="F45" s="3"/>
      <c r="G45" s="11"/>
      <c r="H45" s="11"/>
      <c r="K45" s="56"/>
      <c r="L45" s="117"/>
      <c r="M45" s="169" t="s">
        <v>4529</v>
      </c>
      <c r="N45" s="113">
        <f t="shared" si="13"/>
        <v>798681.60000000009</v>
      </c>
      <c r="O45" s="99">
        <v>4622</v>
      </c>
      <c r="P45" s="99">
        <f>P44</f>
        <v>172.8</v>
      </c>
      <c r="T45" t="s">
        <v>25</v>
      </c>
      <c r="W45" s="200"/>
      <c r="X45" s="200"/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3803</v>
      </c>
      <c r="AJ45" s="113">
        <v>380000</v>
      </c>
      <c r="AK45" s="99">
        <v>7</v>
      </c>
      <c r="AL45" s="99">
        <f t="shared" si="8"/>
        <v>166</v>
      </c>
      <c r="AM45" s="113">
        <f t="shared" si="9"/>
        <v>63080000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11"/>
        <v>4968845.0263747573</v>
      </c>
      <c r="D46" s="3">
        <f t="shared" si="12"/>
        <v>4036335.7543016877</v>
      </c>
      <c r="E46" s="3">
        <f t="shared" si="10"/>
        <v>456143524.53016472</v>
      </c>
      <c r="F46" s="3"/>
      <c r="G46" s="11"/>
      <c r="H46" s="11"/>
      <c r="K46" s="56"/>
      <c r="L46" s="117"/>
      <c r="M46" s="169" t="s">
        <v>4475</v>
      </c>
      <c r="N46" s="113">
        <f t="shared" si="13"/>
        <v>225148.6</v>
      </c>
      <c r="O46" s="99">
        <v>398</v>
      </c>
      <c r="P46" s="99">
        <v>565.70000000000005</v>
      </c>
      <c r="T46" t="s">
        <v>25</v>
      </c>
      <c r="U46" s="96" t="s">
        <v>25</v>
      </c>
      <c r="W46" s="200"/>
      <c r="X46" s="200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3889</v>
      </c>
      <c r="AJ46" s="113">
        <v>450000</v>
      </c>
      <c r="AK46" s="99">
        <v>6</v>
      </c>
      <c r="AL46" s="99">
        <f t="shared" si="8"/>
        <v>159</v>
      </c>
      <c r="AM46" s="113">
        <f t="shared" si="9"/>
        <v>71550000</v>
      </c>
      <c r="AN46" s="99"/>
      <c r="AQ46" s="96"/>
      <c r="AR46" s="96"/>
      <c r="AS46" s="96"/>
    </row>
    <row r="47" spans="1:54">
      <c r="A47" s="62">
        <v>99</v>
      </c>
      <c r="B47" s="11">
        <v>45</v>
      </c>
      <c r="C47" s="50">
        <f t="shared" si="11"/>
        <v>5018533.4766385052</v>
      </c>
      <c r="D47" s="3">
        <f t="shared" si="12"/>
        <v>4076699.1118447045</v>
      </c>
      <c r="E47" s="3">
        <f t="shared" si="10"/>
        <v>466208229.38556182</v>
      </c>
      <c r="F47" s="3"/>
      <c r="G47" s="11"/>
      <c r="H47" s="11"/>
      <c r="K47" s="99"/>
      <c r="L47" s="117"/>
      <c r="M47" s="169" t="s">
        <v>4307</v>
      </c>
      <c r="N47" s="113">
        <f t="shared" si="13"/>
        <v>8513564.7000000011</v>
      </c>
      <c r="O47" s="69">
        <v>29347</v>
      </c>
      <c r="P47" s="69">
        <v>290.10000000000002</v>
      </c>
      <c r="W47" s="200"/>
      <c r="X47" s="200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3913</v>
      </c>
      <c r="AJ47" s="113">
        <v>2800000</v>
      </c>
      <c r="AK47" s="99">
        <v>1</v>
      </c>
      <c r="AL47" s="99">
        <f t="shared" si="8"/>
        <v>153</v>
      </c>
      <c r="AM47" s="113">
        <f t="shared" si="9"/>
        <v>428400000</v>
      </c>
      <c r="AN47" s="99"/>
      <c r="AQ47" s="96"/>
      <c r="AR47" s="96"/>
      <c r="AS47" s="96"/>
    </row>
    <row r="48" spans="1:54" ht="30">
      <c r="A48" s="64">
        <v>99</v>
      </c>
      <c r="B48" s="64">
        <v>46</v>
      </c>
      <c r="C48" s="65">
        <f t="shared" si="11"/>
        <v>5068718.8114048904</v>
      </c>
      <c r="D48" s="65">
        <f t="shared" si="12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117"/>
      <c r="M48" s="169" t="s">
        <v>4414</v>
      </c>
      <c r="N48" s="113">
        <f t="shared" si="13"/>
        <v>3514547.4</v>
      </c>
      <c r="O48" s="69">
        <v>767</v>
      </c>
      <c r="P48" s="69">
        <v>4582.2</v>
      </c>
      <c r="Q48" s="73" t="s">
        <v>4306</v>
      </c>
      <c r="R48" s="112"/>
      <c r="S48" s="112"/>
      <c r="T48" s="112"/>
      <c r="U48" s="169" t="s">
        <v>4380</v>
      </c>
      <c r="V48" s="36" t="s">
        <v>4382</v>
      </c>
      <c r="W48" s="32"/>
      <c r="X48" s="32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3914</v>
      </c>
      <c r="AJ48" s="113">
        <v>-1500000</v>
      </c>
      <c r="AK48" s="99">
        <v>0</v>
      </c>
      <c r="AL48" s="99">
        <f t="shared" si="8"/>
        <v>152</v>
      </c>
      <c r="AM48" s="113">
        <f t="shared" si="9"/>
        <v>-228000000</v>
      </c>
      <c r="AN48" s="99"/>
    </row>
    <row r="49" spans="1:40">
      <c r="A49" s="62">
        <v>99</v>
      </c>
      <c r="B49" s="11">
        <v>47</v>
      </c>
      <c r="C49" s="3">
        <f t="shared" si="11"/>
        <v>5119405.9995189393</v>
      </c>
      <c r="D49" s="3">
        <f t="shared" si="12"/>
        <v>4158640.7639927831</v>
      </c>
      <c r="E49" s="3">
        <f t="shared" si="10"/>
        <v>486974084.8508752</v>
      </c>
      <c r="F49" s="3"/>
      <c r="G49" s="11"/>
      <c r="H49" s="11"/>
      <c r="K49" s="99"/>
      <c r="L49" s="117"/>
      <c r="M49" s="169" t="s">
        <v>4430</v>
      </c>
      <c r="N49" s="117">
        <f t="shared" si="13"/>
        <v>4529140.2</v>
      </c>
      <c r="O49" s="69">
        <v>10431</v>
      </c>
      <c r="P49" s="69">
        <v>434.2</v>
      </c>
      <c r="Q49" s="112" t="s">
        <v>267</v>
      </c>
      <c r="R49" s="112" t="s">
        <v>180</v>
      </c>
      <c r="S49" s="112" t="s">
        <v>183</v>
      </c>
      <c r="T49" s="112" t="s">
        <v>8</v>
      </c>
      <c r="U49" s="169"/>
      <c r="V49" s="99"/>
      <c r="W49" s="32">
        <v>2</v>
      </c>
      <c r="X49" s="32">
        <v>4</v>
      </c>
      <c r="AC49" t="s">
        <v>25</v>
      </c>
      <c r="AD49" t="s">
        <v>25</v>
      </c>
      <c r="AF49" s="115"/>
      <c r="AH49" s="99">
        <v>30</v>
      </c>
      <c r="AI49" s="113" t="s">
        <v>3914</v>
      </c>
      <c r="AJ49" s="113">
        <v>3050000</v>
      </c>
      <c r="AK49" s="99">
        <v>3</v>
      </c>
      <c r="AL49" s="99">
        <f>AL50+AK49</f>
        <v>152</v>
      </c>
      <c r="AM49" s="113">
        <f t="shared" si="9"/>
        <v>463600000</v>
      </c>
      <c r="AN49" s="99"/>
    </row>
    <row r="50" spans="1:40">
      <c r="A50" s="62">
        <v>99</v>
      </c>
      <c r="B50" s="11">
        <v>48</v>
      </c>
      <c r="C50" s="51">
        <f t="shared" si="11"/>
        <v>5170600.0595141286</v>
      </c>
      <c r="D50" s="51">
        <f t="shared" si="12"/>
        <v>4200227.1716327108</v>
      </c>
      <c r="E50" s="52">
        <f t="shared" si="10"/>
        <v>497683939.43577409</v>
      </c>
      <c r="F50" s="51"/>
      <c r="G50" s="11"/>
      <c r="H50" s="11"/>
      <c r="K50" s="99"/>
      <c r="L50" s="117"/>
      <c r="M50" s="73" t="s">
        <v>4445</v>
      </c>
      <c r="N50" s="117">
        <f t="shared" si="13"/>
        <v>2348629.1999999997</v>
      </c>
      <c r="O50" s="69">
        <v>13077</v>
      </c>
      <c r="P50" s="69">
        <v>179.6</v>
      </c>
      <c r="Q50" s="170">
        <v>184971545</v>
      </c>
      <c r="R50" s="169" t="s">
        <v>4175</v>
      </c>
      <c r="S50" s="196">
        <v>78</v>
      </c>
      <c r="T50" s="169" t="s">
        <v>4363</v>
      </c>
      <c r="U50" s="169">
        <v>192</v>
      </c>
      <c r="V50" s="99">
        <f t="shared" ref="V50:V77" si="14">U50*(1+$N$80+$Q$15*S50/36500)</f>
        <v>205.6388383561644</v>
      </c>
      <c r="W50" s="32">
        <f t="shared" ref="W50:W77" si="15">V50*(1+$W$19/100)</f>
        <v>209.75161512328768</v>
      </c>
      <c r="X50" s="32">
        <f t="shared" ref="X50:X77" si="16">V50*(1+$X$19/100)</f>
        <v>213.86439189041099</v>
      </c>
      <c r="AA50" s="96"/>
      <c r="AH50" s="99">
        <v>31</v>
      </c>
      <c r="AI50" s="113" t="s">
        <v>3939</v>
      </c>
      <c r="AJ50" s="113">
        <v>-8299612</v>
      </c>
      <c r="AK50" s="99">
        <v>2</v>
      </c>
      <c r="AL50" s="99">
        <f t="shared" si="8"/>
        <v>149</v>
      </c>
      <c r="AM50" s="113">
        <f t="shared" si="9"/>
        <v>-1236642188</v>
      </c>
      <c r="AN50" s="99"/>
    </row>
    <row r="51" spans="1:40">
      <c r="A51" s="63">
        <v>1400</v>
      </c>
      <c r="B51" s="11">
        <v>49</v>
      </c>
      <c r="C51" s="44">
        <f t="shared" si="11"/>
        <v>5222306.0601092698</v>
      </c>
      <c r="D51" s="3">
        <f t="shared" si="12"/>
        <v>4242229.4433490383</v>
      </c>
      <c r="E51" s="3">
        <f t="shared" si="10"/>
        <v>508617694.84124976</v>
      </c>
      <c r="F51" s="3"/>
      <c r="G51" s="11"/>
      <c r="H51" s="11"/>
      <c r="K51" s="99"/>
      <c r="L51" s="117"/>
      <c r="M51" s="73" t="s">
        <v>1086</v>
      </c>
      <c r="N51" s="117">
        <f t="shared" si="13"/>
        <v>15836000</v>
      </c>
      <c r="O51" s="69">
        <v>40</v>
      </c>
      <c r="P51" s="69">
        <v>395900</v>
      </c>
      <c r="Q51" s="170">
        <v>883646</v>
      </c>
      <c r="R51" s="169" t="s">
        <v>4264</v>
      </c>
      <c r="S51" s="196">
        <f>S50-21</f>
        <v>57</v>
      </c>
      <c r="T51" s="169" t="s">
        <v>4539</v>
      </c>
      <c r="U51" s="169">
        <v>190.3</v>
      </c>
      <c r="V51" s="99">
        <f t="shared" si="14"/>
        <v>200.75242301369863</v>
      </c>
      <c r="W51" s="32">
        <f t="shared" si="15"/>
        <v>204.76747147397262</v>
      </c>
      <c r="X51" s="32">
        <f t="shared" si="16"/>
        <v>208.78251993424658</v>
      </c>
      <c r="AA51" s="96"/>
      <c r="AH51" s="99">
        <v>32</v>
      </c>
      <c r="AI51" s="113" t="s">
        <v>3933</v>
      </c>
      <c r="AJ51" s="113">
        <v>5000000</v>
      </c>
      <c r="AK51" s="99">
        <v>14</v>
      </c>
      <c r="AL51" s="99">
        <f t="shared" si="8"/>
        <v>147</v>
      </c>
      <c r="AM51" s="113">
        <f t="shared" si="9"/>
        <v>735000000</v>
      </c>
      <c r="AN51" s="99"/>
    </row>
    <row r="52" spans="1:40">
      <c r="A52" s="63">
        <v>1400</v>
      </c>
      <c r="B52" s="11">
        <v>50</v>
      </c>
      <c r="C52" s="44">
        <f t="shared" si="11"/>
        <v>5274529.1207103627</v>
      </c>
      <c r="D52" s="3">
        <f t="shared" si="12"/>
        <v>4284651.7377825286</v>
      </c>
      <c r="E52" s="3">
        <f t="shared" si="10"/>
        <v>519779926.12100261</v>
      </c>
      <c r="F52" s="3"/>
      <c r="G52" s="11"/>
      <c r="H52" s="11"/>
      <c r="K52" s="99"/>
      <c r="L52" s="117"/>
      <c r="M52" s="169" t="s">
        <v>1154</v>
      </c>
      <c r="N52" s="117">
        <v>14908</v>
      </c>
      <c r="O52" s="96" t="s">
        <v>25</v>
      </c>
      <c r="P52" t="s">
        <v>25</v>
      </c>
      <c r="Q52" s="170">
        <v>9560464</v>
      </c>
      <c r="R52" s="169" t="s">
        <v>4310</v>
      </c>
      <c r="S52" s="196">
        <f>S51-11</f>
        <v>46</v>
      </c>
      <c r="T52" s="169" t="s">
        <v>4327</v>
      </c>
      <c r="U52" s="169">
        <v>214.57</v>
      </c>
      <c r="V52" s="99">
        <f t="shared" si="14"/>
        <v>224.54485961643837</v>
      </c>
      <c r="W52" s="32">
        <f t="shared" si="15"/>
        <v>229.03575680876713</v>
      </c>
      <c r="X52" s="32">
        <f t="shared" si="16"/>
        <v>233.52665400109592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8"/>
        <v>133</v>
      </c>
      <c r="AM52" s="113">
        <f t="shared" si="9"/>
        <v>-11970000</v>
      </c>
      <c r="AN52" s="99"/>
    </row>
    <row r="53" spans="1:40">
      <c r="A53" s="63">
        <v>1400</v>
      </c>
      <c r="B53" s="11">
        <v>51</v>
      </c>
      <c r="C53" s="44">
        <f t="shared" si="11"/>
        <v>5327274.4119174667</v>
      </c>
      <c r="D53" s="3">
        <f t="shared" si="12"/>
        <v>4327498.2551603541</v>
      </c>
      <c r="E53" s="3">
        <f t="shared" si="10"/>
        <v>531175300.80017978</v>
      </c>
      <c r="F53" s="3"/>
      <c r="G53" s="11"/>
      <c r="H53" s="11"/>
      <c r="K53" s="99"/>
      <c r="L53" s="99"/>
      <c r="M53" s="169" t="s">
        <v>1155</v>
      </c>
      <c r="N53" s="117">
        <v>5282</v>
      </c>
      <c r="O53" s="96"/>
      <c r="Q53" s="170">
        <v>2000000</v>
      </c>
      <c r="R53" s="169" t="s">
        <v>4358</v>
      </c>
      <c r="S53" s="169">
        <f>S52-11</f>
        <v>35</v>
      </c>
      <c r="T53" s="169" t="s">
        <v>4362</v>
      </c>
      <c r="U53" s="169">
        <v>206.8</v>
      </c>
      <c r="V53" s="99">
        <f t="shared" si="14"/>
        <v>214.66859835616444</v>
      </c>
      <c r="W53" s="32">
        <f t="shared" si="15"/>
        <v>218.96197032328774</v>
      </c>
      <c r="X53" s="32">
        <f t="shared" si="16"/>
        <v>223.25534229041102</v>
      </c>
      <c r="AH53" s="99">
        <v>34</v>
      </c>
      <c r="AI53" s="113" t="s">
        <v>4056</v>
      </c>
      <c r="AJ53" s="113">
        <v>5600000</v>
      </c>
      <c r="AK53" s="99">
        <v>4</v>
      </c>
      <c r="AL53" s="99">
        <f t="shared" si="8"/>
        <v>132</v>
      </c>
      <c r="AM53" s="113">
        <f t="shared" si="9"/>
        <v>739200000</v>
      </c>
      <c r="AN53" s="99"/>
    </row>
    <row r="54" spans="1:40">
      <c r="A54" s="63">
        <v>1400</v>
      </c>
      <c r="B54" s="11">
        <v>52</v>
      </c>
      <c r="C54" s="49">
        <f t="shared" si="11"/>
        <v>5380547.1560366414</v>
      </c>
      <c r="D54" s="3">
        <f t="shared" si="12"/>
        <v>4370773.2377119577</v>
      </c>
      <c r="E54" s="3">
        <f t="shared" si="10"/>
        <v>542808580.73450804</v>
      </c>
      <c r="F54" s="3"/>
      <c r="G54" s="11"/>
      <c r="H54" s="11"/>
      <c r="K54" s="169"/>
      <c r="L54" s="117"/>
      <c r="M54" s="169"/>
      <c r="N54" s="113"/>
      <c r="O54" s="115"/>
      <c r="P54" s="115"/>
      <c r="Q54" s="170">
        <v>1457531</v>
      </c>
      <c r="R54" s="169" t="s">
        <v>4393</v>
      </c>
      <c r="S54" s="196">
        <f>S53-6</f>
        <v>29</v>
      </c>
      <c r="T54" s="169" t="s">
        <v>4394</v>
      </c>
      <c r="U54" s="169">
        <v>310</v>
      </c>
      <c r="V54" s="99">
        <f t="shared" si="14"/>
        <v>320.3684383561644</v>
      </c>
      <c r="W54" s="32">
        <f t="shared" si="15"/>
        <v>326.77580712328768</v>
      </c>
      <c r="X54" s="32">
        <f t="shared" si="16"/>
        <v>333.18317589041101</v>
      </c>
      <c r="AH54" s="99">
        <v>35</v>
      </c>
      <c r="AI54" s="113" t="s">
        <v>3984</v>
      </c>
      <c r="AJ54" s="113">
        <v>750000</v>
      </c>
      <c r="AK54" s="99">
        <v>2</v>
      </c>
      <c r="AL54" s="99">
        <f t="shared" si="8"/>
        <v>128</v>
      </c>
      <c r="AM54" s="113">
        <f t="shared" si="9"/>
        <v>96000000</v>
      </c>
      <c r="AN54" s="99"/>
    </row>
    <row r="55" spans="1:40">
      <c r="A55" s="63">
        <v>1400</v>
      </c>
      <c r="B55" s="11">
        <v>53</v>
      </c>
      <c r="C55" s="49">
        <f t="shared" si="11"/>
        <v>5434352.6275970079</v>
      </c>
      <c r="D55" s="3">
        <f t="shared" si="12"/>
        <v>4414480.970089077</v>
      </c>
      <c r="E55" s="3">
        <f t="shared" si="10"/>
        <v>554684624.00670612</v>
      </c>
      <c r="F55" s="3"/>
      <c r="G55" s="11"/>
      <c r="H55" s="11"/>
      <c r="K55" s="169" t="s">
        <v>25</v>
      </c>
      <c r="L55" s="117"/>
      <c r="M55" s="169" t="s">
        <v>4183</v>
      </c>
      <c r="N55" s="113">
        <f>-O55*P55</f>
        <v>-14303174.4</v>
      </c>
      <c r="O55" s="99">
        <v>82773</v>
      </c>
      <c r="P55" s="99">
        <f>P44</f>
        <v>172.8</v>
      </c>
      <c r="Q55" s="170">
        <v>1429825</v>
      </c>
      <c r="R55" s="169" t="s">
        <v>4389</v>
      </c>
      <c r="S55" s="169">
        <f>S54-1</f>
        <v>28</v>
      </c>
      <c r="T55" s="169" t="s">
        <v>4399</v>
      </c>
      <c r="U55" s="169">
        <v>203.9</v>
      </c>
      <c r="V55" s="99">
        <f t="shared" si="14"/>
        <v>210.56334027397261</v>
      </c>
      <c r="W55" s="32">
        <f t="shared" si="15"/>
        <v>214.77460707945207</v>
      </c>
      <c r="X55" s="32">
        <f t="shared" si="16"/>
        <v>218.98587388493152</v>
      </c>
      <c r="AH55" s="172">
        <v>36</v>
      </c>
      <c r="AI55" s="171" t="s">
        <v>3994</v>
      </c>
      <c r="AJ55" s="171">
        <v>-4242000</v>
      </c>
      <c r="AK55" s="172">
        <v>2</v>
      </c>
      <c r="AL55" s="172">
        <f t="shared" si="8"/>
        <v>126</v>
      </c>
      <c r="AM55" s="171">
        <f t="shared" si="9"/>
        <v>-534492000</v>
      </c>
      <c r="AN55" s="172" t="s">
        <v>4065</v>
      </c>
    </row>
    <row r="56" spans="1:40">
      <c r="A56" s="63">
        <v>1400</v>
      </c>
      <c r="B56" s="11">
        <v>54</v>
      </c>
      <c r="C56" s="49">
        <f t="shared" si="11"/>
        <v>5488696.1538729779</v>
      </c>
      <c r="D56" s="3">
        <f t="shared" si="12"/>
        <v>4458625.7797899675</v>
      </c>
      <c r="E56" s="3">
        <f t="shared" si="10"/>
        <v>566808386.86092329</v>
      </c>
      <c r="F56" s="3"/>
      <c r="G56" s="11"/>
      <c r="H56" s="11"/>
      <c r="K56" s="169"/>
      <c r="L56" s="117"/>
      <c r="M56" s="169"/>
      <c r="N56" s="113"/>
      <c r="Q56" s="170">
        <v>1420747</v>
      </c>
      <c r="R56" s="169" t="s">
        <v>4389</v>
      </c>
      <c r="S56" s="169">
        <f>S55</f>
        <v>28</v>
      </c>
      <c r="T56" s="169" t="s">
        <v>4401</v>
      </c>
      <c r="U56" s="169">
        <v>203.1</v>
      </c>
      <c r="V56" s="99">
        <f t="shared" si="14"/>
        <v>209.73719671232877</v>
      </c>
      <c r="W56" s="32">
        <f t="shared" si="15"/>
        <v>213.93194064657536</v>
      </c>
      <c r="X56" s="32">
        <f t="shared" si="16"/>
        <v>218.12668458082192</v>
      </c>
      <c r="AH56" s="99">
        <v>37</v>
      </c>
      <c r="AI56" s="113" t="s">
        <v>3994</v>
      </c>
      <c r="AJ56" s="113">
        <v>4100000</v>
      </c>
      <c r="AK56" s="99">
        <v>0</v>
      </c>
      <c r="AL56" s="99">
        <f t="shared" si="8"/>
        <v>124</v>
      </c>
      <c r="AM56" s="113">
        <f t="shared" si="9"/>
        <v>508400000</v>
      </c>
      <c r="AN56" s="99"/>
    </row>
    <row r="57" spans="1:40">
      <c r="A57" s="63">
        <v>1400</v>
      </c>
      <c r="B57" s="11">
        <v>55</v>
      </c>
      <c r="C57" s="50">
        <f t="shared" si="11"/>
        <v>5543583.1154117081</v>
      </c>
      <c r="D57" s="3">
        <f t="shared" si="12"/>
        <v>4503212.0375878671</v>
      </c>
      <c r="E57" s="3">
        <f t="shared" si="10"/>
        <v>579184925.67596567</v>
      </c>
      <c r="F57" s="3"/>
      <c r="G57" s="11"/>
      <c r="H57" s="11"/>
      <c r="K57" s="169"/>
      <c r="L57" s="117"/>
      <c r="M57" s="169" t="s">
        <v>4471</v>
      </c>
      <c r="N57" s="113">
        <f>-S91</f>
        <v>-2275830.4149686466</v>
      </c>
      <c r="Q57" s="170">
        <v>2864946</v>
      </c>
      <c r="R57" s="169" t="s">
        <v>4389</v>
      </c>
      <c r="S57" s="198">
        <f>S56</f>
        <v>28</v>
      </c>
      <c r="T57" s="169" t="s">
        <v>4403</v>
      </c>
      <c r="U57" s="169">
        <v>303.60000000000002</v>
      </c>
      <c r="V57" s="99">
        <f t="shared" si="14"/>
        <v>313.52148164383567</v>
      </c>
      <c r="W57" s="32">
        <f t="shared" si="15"/>
        <v>319.79191127671237</v>
      </c>
      <c r="X57" s="32">
        <f t="shared" si="16"/>
        <v>326.06234090958912</v>
      </c>
      <c r="AH57" s="99">
        <v>38</v>
      </c>
      <c r="AI57" s="113" t="s">
        <v>4000</v>
      </c>
      <c r="AJ57" s="113">
        <v>4100000</v>
      </c>
      <c r="AK57" s="99">
        <v>1</v>
      </c>
      <c r="AL57" s="99">
        <f t="shared" si="8"/>
        <v>124</v>
      </c>
      <c r="AM57" s="113">
        <f t="shared" si="9"/>
        <v>508400000</v>
      </c>
      <c r="AN57" s="99"/>
    </row>
    <row r="58" spans="1:40">
      <c r="A58" s="63">
        <v>1400</v>
      </c>
      <c r="B58" s="11">
        <v>56</v>
      </c>
      <c r="C58" s="50">
        <f t="shared" si="11"/>
        <v>5599018.9465658255</v>
      </c>
      <c r="D58" s="3">
        <f t="shared" si="12"/>
        <v>4548244.1579637462</v>
      </c>
      <c r="E58" s="3">
        <f t="shared" si="10"/>
        <v>591819398.97808707</v>
      </c>
      <c r="F58" s="3"/>
      <c r="G58" s="11"/>
      <c r="H58" s="11"/>
      <c r="K58" s="169"/>
      <c r="L58" s="117"/>
      <c r="M58" s="169" t="s">
        <v>4489</v>
      </c>
      <c r="N58" s="113">
        <f>-S92</f>
        <v>-5008769.9911935357</v>
      </c>
      <c r="Q58" s="170">
        <v>2412371</v>
      </c>
      <c r="R58" s="169" t="s">
        <v>4391</v>
      </c>
      <c r="S58" s="169">
        <f>S57-1</f>
        <v>27</v>
      </c>
      <c r="T58" s="169" t="s">
        <v>4409</v>
      </c>
      <c r="U58" s="169">
        <v>3930</v>
      </c>
      <c r="V58" s="99">
        <f t="shared" si="14"/>
        <v>4055.4154520547954</v>
      </c>
      <c r="W58" s="32">
        <f t="shared" si="15"/>
        <v>4136.5237610958911</v>
      </c>
      <c r="X58" s="32">
        <f t="shared" si="16"/>
        <v>4217.6320701369877</v>
      </c>
      <c r="AH58" s="99">
        <v>39</v>
      </c>
      <c r="AI58" s="113" t="s">
        <v>4009</v>
      </c>
      <c r="AJ58" s="113">
        <v>790000</v>
      </c>
      <c r="AK58" s="99">
        <v>15</v>
      </c>
      <c r="AL58" s="99">
        <f t="shared" si="8"/>
        <v>123</v>
      </c>
      <c r="AM58" s="113">
        <f t="shared" si="9"/>
        <v>97170000</v>
      </c>
      <c r="AN58" s="99"/>
    </row>
    <row r="59" spans="1:40">
      <c r="A59" s="63">
        <v>1400</v>
      </c>
      <c r="B59" s="11">
        <v>57</v>
      </c>
      <c r="C59" s="50">
        <f t="shared" si="11"/>
        <v>5655009.1360314842</v>
      </c>
      <c r="D59" s="3">
        <f t="shared" si="12"/>
        <v>4593726.5995433833</v>
      </c>
      <c r="E59" s="3">
        <f t="shared" si="10"/>
        <v>604717069.49413705</v>
      </c>
      <c r="F59" s="3"/>
      <c r="G59" s="11"/>
      <c r="H59" s="11"/>
      <c r="K59" s="169"/>
      <c r="L59" s="117"/>
      <c r="M59" s="169"/>
      <c r="N59" s="113"/>
      <c r="Q59" s="170">
        <v>2010885</v>
      </c>
      <c r="R59" s="169" t="s">
        <v>4412</v>
      </c>
      <c r="S59" s="169">
        <f>S58-2</f>
        <v>25</v>
      </c>
      <c r="T59" s="169" t="s">
        <v>4418</v>
      </c>
      <c r="U59" s="169">
        <v>202.1</v>
      </c>
      <c r="V59" s="99">
        <f t="shared" si="14"/>
        <v>208.23941041095893</v>
      </c>
      <c r="W59" s="32">
        <f t="shared" si="15"/>
        <v>212.40419861917812</v>
      </c>
      <c r="X59" s="32">
        <f t="shared" si="16"/>
        <v>216.56898682739728</v>
      </c>
      <c r="Y59" s="96"/>
      <c r="Z59" s="96"/>
      <c r="AA59" s="96"/>
      <c r="AB59" s="96"/>
      <c r="AC59" s="96"/>
      <c r="AH59" s="172">
        <v>40</v>
      </c>
      <c r="AI59" s="171" t="s">
        <v>4040</v>
      </c>
      <c r="AJ59" s="171">
        <v>-3865000</v>
      </c>
      <c r="AK59" s="172">
        <v>6</v>
      </c>
      <c r="AL59" s="172">
        <f t="shared" si="8"/>
        <v>108</v>
      </c>
      <c r="AM59" s="173">
        <f t="shared" si="9"/>
        <v>-417420000</v>
      </c>
      <c r="AN59" s="172" t="s">
        <v>4066</v>
      </c>
    </row>
    <row r="60" spans="1:40">
      <c r="A60" s="63">
        <v>1400</v>
      </c>
      <c r="B60" s="11">
        <v>58</v>
      </c>
      <c r="C60" s="3">
        <f t="shared" si="11"/>
        <v>5711559.227391799</v>
      </c>
      <c r="D60" s="3">
        <f t="shared" si="12"/>
        <v>4639663.8655388169</v>
      </c>
      <c r="E60" s="3">
        <f t="shared" si="10"/>
        <v>617883306.24587286</v>
      </c>
      <c r="F60" s="3"/>
      <c r="G60" s="11"/>
      <c r="H60" s="11"/>
      <c r="K60" s="169"/>
      <c r="L60" s="117"/>
      <c r="M60" s="169"/>
      <c r="N60" s="113"/>
      <c r="Q60" s="170">
        <v>1994038</v>
      </c>
      <c r="R60" s="169" t="s">
        <v>4423</v>
      </c>
      <c r="S60" s="169">
        <f>S59-3</f>
        <v>22</v>
      </c>
      <c r="T60" s="169" t="s">
        <v>4442</v>
      </c>
      <c r="U60" s="169">
        <v>5560.3</v>
      </c>
      <c r="V60" s="99">
        <f t="shared" si="14"/>
        <v>5716.4149435616446</v>
      </c>
      <c r="W60" s="32">
        <f t="shared" si="15"/>
        <v>5830.7432424328772</v>
      </c>
      <c r="X60" s="32">
        <f t="shared" si="16"/>
        <v>5945.0715413041107</v>
      </c>
      <c r="Y60" s="96"/>
      <c r="Z60" s="96"/>
      <c r="AA60" s="96"/>
      <c r="AB60" s="96"/>
      <c r="AC60" s="96"/>
      <c r="AH60" s="20">
        <v>41</v>
      </c>
      <c r="AI60" s="117" t="s">
        <v>4070</v>
      </c>
      <c r="AJ60" s="117">
        <v>18800000</v>
      </c>
      <c r="AK60" s="20">
        <v>3</v>
      </c>
      <c r="AL60" s="99">
        <f t="shared" si="8"/>
        <v>102</v>
      </c>
      <c r="AM60" s="113">
        <f t="shared" si="9"/>
        <v>1917600000</v>
      </c>
      <c r="AN60" s="20"/>
    </row>
    <row r="61" spans="1:40">
      <c r="A61" s="63">
        <v>1400</v>
      </c>
      <c r="B61" s="11">
        <v>59</v>
      </c>
      <c r="C61" s="3">
        <f t="shared" si="11"/>
        <v>5768674.819665717</v>
      </c>
      <c r="D61" s="3">
        <f t="shared" si="12"/>
        <v>4686060.5041942047</v>
      </c>
      <c r="E61" s="3">
        <f t="shared" si="10"/>
        <v>631323586.68626177</v>
      </c>
      <c r="F61" s="3"/>
      <c r="G61" s="11"/>
      <c r="H61" s="11"/>
      <c r="K61" s="169" t="s">
        <v>598</v>
      </c>
      <c r="L61" s="113">
        <f>SUM(L16:L48)</f>
        <v>266834649.61962789</v>
      </c>
      <c r="M61" s="169"/>
      <c r="N61" s="113">
        <f>SUM(N16:N57)</f>
        <v>357201754.06540346</v>
      </c>
      <c r="Q61" s="170">
        <v>4629290</v>
      </c>
      <c r="R61" s="169" t="s">
        <v>4423</v>
      </c>
      <c r="S61" s="198">
        <f>S60</f>
        <v>22</v>
      </c>
      <c r="T61" s="169" t="s">
        <v>4431</v>
      </c>
      <c r="U61" s="169">
        <v>441.8</v>
      </c>
      <c r="V61" s="99">
        <f t="shared" si="14"/>
        <v>454.20429150684942</v>
      </c>
      <c r="W61" s="32">
        <f t="shared" si="15"/>
        <v>463.2883773369864</v>
      </c>
      <c r="X61" s="32">
        <f t="shared" si="16"/>
        <v>472.37246316712339</v>
      </c>
      <c r="Y61" s="96"/>
      <c r="Z61" s="96"/>
      <c r="AA61" s="96"/>
      <c r="AB61" s="96"/>
      <c r="AC61" s="96"/>
      <c r="AH61" s="20">
        <v>42</v>
      </c>
      <c r="AI61" s="117" t="s">
        <v>4087</v>
      </c>
      <c r="AJ61" s="117">
        <v>500000</v>
      </c>
      <c r="AK61" s="20">
        <v>1</v>
      </c>
      <c r="AL61" s="99">
        <f t="shared" si="8"/>
        <v>99</v>
      </c>
      <c r="AM61" s="113">
        <f t="shared" si="9"/>
        <v>49500000</v>
      </c>
      <c r="AN61" s="20"/>
    </row>
    <row r="62" spans="1:40">
      <c r="A62" s="63">
        <v>1400</v>
      </c>
      <c r="B62" s="11">
        <v>60</v>
      </c>
      <c r="C62" s="3">
        <f t="shared" si="11"/>
        <v>5826361.5678623738</v>
      </c>
      <c r="D62" s="3">
        <f t="shared" si="12"/>
        <v>4732921.1092361463</v>
      </c>
      <c r="E62" s="46">
        <f t="shared" si="10"/>
        <v>645043498.87861323</v>
      </c>
      <c r="F62" s="3"/>
      <c r="G62" s="11"/>
      <c r="H62" s="11"/>
      <c r="K62" s="169" t="s">
        <v>599</v>
      </c>
      <c r="L62" s="113">
        <f>L16+L17+L23</f>
        <v>24202</v>
      </c>
      <c r="M62" s="169"/>
      <c r="N62" s="113">
        <f>N16+N17+N34</f>
        <v>8187686</v>
      </c>
      <c r="Q62" s="170">
        <v>4489908</v>
      </c>
      <c r="R62" s="169" t="s">
        <v>4423</v>
      </c>
      <c r="S62" s="169">
        <f>S61</f>
        <v>22</v>
      </c>
      <c r="T62" s="169" t="s">
        <v>4429</v>
      </c>
      <c r="U62" s="169">
        <v>292.60000000000002</v>
      </c>
      <c r="V62" s="99">
        <f t="shared" si="14"/>
        <v>300.81524602739734</v>
      </c>
      <c r="W62" s="32">
        <f t="shared" si="15"/>
        <v>306.83155094794529</v>
      </c>
      <c r="X62" s="32">
        <f t="shared" si="16"/>
        <v>312.84785586849324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4091</v>
      </c>
      <c r="AJ62" s="117">
        <v>200000</v>
      </c>
      <c r="AK62" s="20">
        <v>3</v>
      </c>
      <c r="AL62" s="99">
        <f>AL63+AK62</f>
        <v>98</v>
      </c>
      <c r="AM62" s="113">
        <f t="shared" si="9"/>
        <v>19600000</v>
      </c>
      <c r="AN62" s="20"/>
    </row>
    <row r="63" spans="1:40">
      <c r="E63" s="26"/>
      <c r="K63" s="56" t="s">
        <v>716</v>
      </c>
      <c r="L63" s="1">
        <f>L61+N7</f>
        <v>336834649.61962789</v>
      </c>
      <c r="M63" s="113"/>
      <c r="N63" s="169"/>
      <c r="O63" s="115"/>
      <c r="P63" s="115"/>
      <c r="Q63" s="170">
        <v>1971103</v>
      </c>
      <c r="R63" s="169" t="s">
        <v>4437</v>
      </c>
      <c r="S63" s="169">
        <f>S62-1</f>
        <v>21</v>
      </c>
      <c r="T63" s="169" t="s">
        <v>4438</v>
      </c>
      <c r="U63" s="169">
        <v>196.2</v>
      </c>
      <c r="V63" s="99">
        <f t="shared" si="14"/>
        <v>201.55814136986302</v>
      </c>
      <c r="W63" s="32">
        <f t="shared" si="15"/>
        <v>205.58930419726028</v>
      </c>
      <c r="X63" s="32">
        <f t="shared" si="16"/>
        <v>209.62046702465756</v>
      </c>
      <c r="Y63" s="96"/>
      <c r="Z63" s="96"/>
      <c r="AA63" s="96"/>
      <c r="AB63" s="96"/>
      <c r="AC63" s="96"/>
      <c r="AH63" s="20">
        <v>44</v>
      </c>
      <c r="AI63" s="117" t="s">
        <v>4098</v>
      </c>
      <c r="AJ63" s="117">
        <v>1000000</v>
      </c>
      <c r="AK63" s="20">
        <v>3</v>
      </c>
      <c r="AL63" s="99">
        <f t="shared" si="8"/>
        <v>95</v>
      </c>
      <c r="AM63" s="113">
        <f t="shared" si="9"/>
        <v>95000000</v>
      </c>
      <c r="AN63" s="20"/>
    </row>
    <row r="64" spans="1:40">
      <c r="E64" s="26"/>
      <c r="O64" s="96"/>
      <c r="P64" s="96"/>
      <c r="Q64" s="170">
        <v>1000913</v>
      </c>
      <c r="R64" s="169" t="s">
        <v>4439</v>
      </c>
      <c r="S64" s="169">
        <f>S63-1</f>
        <v>20</v>
      </c>
      <c r="T64" s="169" t="s">
        <v>4444</v>
      </c>
      <c r="U64" s="169">
        <v>191.3</v>
      </c>
      <c r="V64" s="99">
        <f t="shared" si="14"/>
        <v>196.37757369863019</v>
      </c>
      <c r="W64" s="32">
        <f t="shared" si="15"/>
        <v>200.3051251726028</v>
      </c>
      <c r="X64" s="32">
        <f t="shared" si="16"/>
        <v>204.23267664657541</v>
      </c>
      <c r="Y64" s="96"/>
      <c r="Z64" s="96"/>
      <c r="AA64" s="96"/>
      <c r="AB64" s="96"/>
      <c r="AC64" s="96"/>
      <c r="AH64" s="20">
        <v>45</v>
      </c>
      <c r="AI64" s="117" t="s">
        <v>4110</v>
      </c>
      <c r="AJ64" s="117">
        <v>1300000</v>
      </c>
      <c r="AK64" s="20">
        <v>0</v>
      </c>
      <c r="AL64" s="99">
        <f>AL65+AK64</f>
        <v>92</v>
      </c>
      <c r="AM64" s="113">
        <f t="shared" si="9"/>
        <v>119600000</v>
      </c>
      <c r="AN64" s="20"/>
    </row>
    <row r="65" spans="1:40">
      <c r="M65" s="25"/>
      <c r="O65" t="s">
        <v>25</v>
      </c>
      <c r="Q65" s="170">
        <v>157443</v>
      </c>
      <c r="R65" s="169" t="s">
        <v>4439</v>
      </c>
      <c r="S65" s="169">
        <f>S64</f>
        <v>20</v>
      </c>
      <c r="T65" s="169" t="s">
        <v>4456</v>
      </c>
      <c r="U65" s="169">
        <v>189.5</v>
      </c>
      <c r="V65" s="99">
        <f t="shared" si="14"/>
        <v>194.52979726027399</v>
      </c>
      <c r="W65" s="32">
        <f t="shared" si="15"/>
        <v>198.42039320547948</v>
      </c>
      <c r="X65" s="32">
        <f t="shared" si="16"/>
        <v>202.31098915068497</v>
      </c>
      <c r="Y65" s="96"/>
      <c r="Z65" s="96"/>
      <c r="AA65" s="96"/>
      <c r="AB65" s="96"/>
      <c r="AC65" s="96"/>
      <c r="AH65" s="20">
        <v>45</v>
      </c>
      <c r="AI65" s="117" t="s">
        <v>4110</v>
      </c>
      <c r="AJ65" s="117">
        <v>995000</v>
      </c>
      <c r="AK65" s="20">
        <v>2</v>
      </c>
      <c r="AL65" s="99">
        <f t="shared" ref="AL65:AL96" si="17">AL66+AK65</f>
        <v>92</v>
      </c>
      <c r="AM65" s="113">
        <f t="shared" si="9"/>
        <v>91540000</v>
      </c>
      <c r="AN65" s="20"/>
    </row>
    <row r="66" spans="1:40">
      <c r="M66" s="25" t="s">
        <v>4083</v>
      </c>
      <c r="P66" t="s">
        <v>25</v>
      </c>
      <c r="Q66" s="170">
        <v>1330173</v>
      </c>
      <c r="R66" s="169" t="s">
        <v>4459</v>
      </c>
      <c r="S66" s="169">
        <f>S65-2</f>
        <v>18</v>
      </c>
      <c r="T66" s="169" t="s">
        <v>4460</v>
      </c>
      <c r="U66" s="169">
        <v>188.1</v>
      </c>
      <c r="V66" s="99">
        <f t="shared" si="14"/>
        <v>192.80404602739728</v>
      </c>
      <c r="W66" s="32">
        <f t="shared" si="15"/>
        <v>196.66012694794523</v>
      </c>
      <c r="X66" s="32">
        <f t="shared" si="16"/>
        <v>200.51620786849318</v>
      </c>
      <c r="Y66" s="96"/>
      <c r="Z66" s="96"/>
      <c r="AA66" s="96"/>
      <c r="AB66" s="96"/>
      <c r="AC66" s="96"/>
      <c r="AH66" s="20">
        <v>46</v>
      </c>
      <c r="AI66" s="117" t="s">
        <v>4120</v>
      </c>
      <c r="AJ66" s="117">
        <v>13000000</v>
      </c>
      <c r="AK66" s="20">
        <v>2</v>
      </c>
      <c r="AL66" s="99">
        <f t="shared" si="17"/>
        <v>90</v>
      </c>
      <c r="AM66" s="113">
        <f t="shared" si="9"/>
        <v>1170000000</v>
      </c>
      <c r="AN66" s="20"/>
    </row>
    <row r="67" spans="1:40">
      <c r="A67" t="s">
        <v>25</v>
      </c>
      <c r="F67" t="s">
        <v>310</v>
      </c>
      <c r="G67" t="s">
        <v>4102</v>
      </c>
      <c r="M67" s="178"/>
      <c r="O67" s="22"/>
      <c r="Q67" s="170">
        <v>1049856</v>
      </c>
      <c r="R67" s="169" t="s">
        <v>4468</v>
      </c>
      <c r="S67" s="204">
        <f>S66-3</f>
        <v>15</v>
      </c>
      <c r="T67" s="169" t="s">
        <v>4521</v>
      </c>
      <c r="U67" s="169">
        <v>184.5</v>
      </c>
      <c r="V67" s="99">
        <f t="shared" si="14"/>
        <v>188.68941369863015</v>
      </c>
      <c r="W67" s="32">
        <f t="shared" si="15"/>
        <v>192.46320197260275</v>
      </c>
      <c r="X67" s="32">
        <f t="shared" si="16"/>
        <v>196.23699024657537</v>
      </c>
      <c r="Y67" s="96"/>
      <c r="Z67" s="96"/>
      <c r="AA67" s="96"/>
      <c r="AB67" s="96"/>
      <c r="AC67" s="96"/>
      <c r="AH67" s="20">
        <v>47</v>
      </c>
      <c r="AI67" s="117" t="s">
        <v>4133</v>
      </c>
      <c r="AJ67" s="117">
        <v>-3100000</v>
      </c>
      <c r="AK67" s="20">
        <v>3</v>
      </c>
      <c r="AL67" s="99">
        <f t="shared" si="17"/>
        <v>88</v>
      </c>
      <c r="AM67" s="113">
        <f t="shared" si="9"/>
        <v>-272800000</v>
      </c>
      <c r="AN67" s="20"/>
    </row>
    <row r="68" spans="1:40">
      <c r="F68" t="s">
        <v>4106</v>
      </c>
      <c r="G68" t="s">
        <v>4101</v>
      </c>
      <c r="M68" s="122"/>
      <c r="O68" t="s">
        <v>25</v>
      </c>
      <c r="P68" t="s">
        <v>25</v>
      </c>
      <c r="Q68" s="170">
        <v>1783234</v>
      </c>
      <c r="R68" s="169" t="s">
        <v>4472</v>
      </c>
      <c r="S68" s="169">
        <f>S67-2</f>
        <v>13</v>
      </c>
      <c r="T68" s="169" t="s">
        <v>4478</v>
      </c>
      <c r="U68" s="169">
        <v>177.5</v>
      </c>
      <c r="V68" s="99">
        <f t="shared" si="14"/>
        <v>181.25813698630139</v>
      </c>
      <c r="W68" s="32">
        <f t="shared" si="15"/>
        <v>184.88329972602742</v>
      </c>
      <c r="X68" s="32">
        <f t="shared" si="16"/>
        <v>188.50846246575347</v>
      </c>
      <c r="Y68" s="96"/>
      <c r="Z68" s="96"/>
      <c r="AA68" s="96"/>
      <c r="AB68" s="96"/>
      <c r="AC68" s="96"/>
      <c r="AH68" s="20">
        <v>48</v>
      </c>
      <c r="AI68" s="117" t="s">
        <v>4148</v>
      </c>
      <c r="AJ68" s="117">
        <v>45640000</v>
      </c>
      <c r="AK68" s="20">
        <v>1</v>
      </c>
      <c r="AL68" s="99">
        <f t="shared" si="17"/>
        <v>85</v>
      </c>
      <c r="AM68" s="113">
        <f t="shared" si="9"/>
        <v>3879400000</v>
      </c>
      <c r="AN68" s="20"/>
    </row>
    <row r="69" spans="1:40">
      <c r="F69" t="s">
        <v>4107</v>
      </c>
      <c r="G69" t="s">
        <v>4103</v>
      </c>
      <c r="M69" s="122" t="s">
        <v>4432</v>
      </c>
      <c r="O69" s="114"/>
      <c r="Q69" s="170">
        <v>1904396</v>
      </c>
      <c r="R69" s="169" t="s">
        <v>4472</v>
      </c>
      <c r="S69" s="203">
        <f>S68</f>
        <v>13</v>
      </c>
      <c r="T69" s="169" t="s">
        <v>4483</v>
      </c>
      <c r="U69" s="169">
        <v>4861</v>
      </c>
      <c r="V69" s="99">
        <f t="shared" si="14"/>
        <v>4963.9200219178083</v>
      </c>
      <c r="W69" s="32">
        <f t="shared" si="15"/>
        <v>5063.1984223561649</v>
      </c>
      <c r="X69" s="32">
        <f t="shared" si="16"/>
        <v>5162.4768227945206</v>
      </c>
      <c r="Y69" s="96"/>
      <c r="Z69" s="96"/>
      <c r="AA69" s="96"/>
      <c r="AB69" s="96"/>
      <c r="AC69" s="96"/>
      <c r="AH69" s="20">
        <v>49</v>
      </c>
      <c r="AI69" s="117" t="s">
        <v>4154</v>
      </c>
      <c r="AJ69" s="117">
        <v>33500000</v>
      </c>
      <c r="AK69" s="20">
        <v>1</v>
      </c>
      <c r="AL69" s="99">
        <f t="shared" si="17"/>
        <v>84</v>
      </c>
      <c r="AM69" s="113">
        <f t="shared" si="9"/>
        <v>2814000000</v>
      </c>
      <c r="AN69" s="20"/>
    </row>
    <row r="70" spans="1:40">
      <c r="G70" t="s">
        <v>4104</v>
      </c>
      <c r="M70" s="122" t="s">
        <v>4488</v>
      </c>
      <c r="N70" s="96"/>
      <c r="Q70" s="170">
        <v>145929</v>
      </c>
      <c r="R70" s="169" t="s">
        <v>4472</v>
      </c>
      <c r="S70" s="203">
        <f>S69</f>
        <v>13</v>
      </c>
      <c r="T70" s="169" t="s">
        <v>4476</v>
      </c>
      <c r="U70" s="169">
        <v>365</v>
      </c>
      <c r="V70" s="99">
        <f t="shared" si="14"/>
        <v>372.72800000000001</v>
      </c>
      <c r="W70" s="32">
        <f t="shared" si="15"/>
        <v>380.18256000000002</v>
      </c>
      <c r="X70" s="32">
        <f t="shared" si="16"/>
        <v>387.63712000000004</v>
      </c>
      <c r="AH70" s="20">
        <v>50</v>
      </c>
      <c r="AI70" s="117" t="s">
        <v>4159</v>
      </c>
      <c r="AJ70" s="117">
        <v>12000000</v>
      </c>
      <c r="AK70" s="20">
        <v>1</v>
      </c>
      <c r="AL70" s="99">
        <f t="shared" si="17"/>
        <v>83</v>
      </c>
      <c r="AM70" s="117">
        <f t="shared" si="9"/>
        <v>996000000</v>
      </c>
      <c r="AN70" s="20"/>
    </row>
    <row r="71" spans="1:40">
      <c r="G71" t="s">
        <v>4105</v>
      </c>
      <c r="M71" s="122" t="s">
        <v>4549</v>
      </c>
      <c r="N71" s="96"/>
      <c r="P71" t="s">
        <v>25</v>
      </c>
      <c r="Q71" s="170">
        <v>1826179</v>
      </c>
      <c r="R71" s="169" t="s">
        <v>4481</v>
      </c>
      <c r="S71" s="203">
        <f>S70-5</f>
        <v>8</v>
      </c>
      <c r="T71" s="73" t="s">
        <v>4530</v>
      </c>
      <c r="U71" s="169">
        <v>190.3</v>
      </c>
      <c r="V71" s="99">
        <f t="shared" si="14"/>
        <v>193.59922849315072</v>
      </c>
      <c r="W71" s="32">
        <f t="shared" si="15"/>
        <v>197.47121306301375</v>
      </c>
      <c r="X71" s="32">
        <f t="shared" si="16"/>
        <v>201.34319763287675</v>
      </c>
      <c r="AH71" s="20">
        <v>51</v>
      </c>
      <c r="AI71" s="117" t="s">
        <v>4165</v>
      </c>
      <c r="AJ71" s="117">
        <v>15500000</v>
      </c>
      <c r="AK71" s="20">
        <v>4</v>
      </c>
      <c r="AL71" s="99">
        <f t="shared" si="17"/>
        <v>82</v>
      </c>
      <c r="AM71" s="117">
        <f t="shared" si="9"/>
        <v>1271000000</v>
      </c>
      <c r="AN71" s="20"/>
    </row>
    <row r="72" spans="1:40">
      <c r="G72" t="s">
        <v>4109</v>
      </c>
      <c r="M72" s="122" t="s">
        <v>4551</v>
      </c>
      <c r="N72" s="96"/>
      <c r="P72" s="115"/>
      <c r="Q72" s="170">
        <v>1049976</v>
      </c>
      <c r="R72" s="169" t="s">
        <v>4481</v>
      </c>
      <c r="S72" s="203">
        <f>S71</f>
        <v>8</v>
      </c>
      <c r="T72" s="73" t="s">
        <v>4540</v>
      </c>
      <c r="U72" s="169">
        <v>190.3</v>
      </c>
      <c r="V72" s="99">
        <f t="shared" si="14"/>
        <v>193.59922849315072</v>
      </c>
      <c r="W72" s="32">
        <f t="shared" si="15"/>
        <v>197.47121306301375</v>
      </c>
      <c r="X72" s="32">
        <f t="shared" si="16"/>
        <v>201.34319763287675</v>
      </c>
      <c r="AH72" s="20">
        <v>52</v>
      </c>
      <c r="AI72" s="117" t="s">
        <v>4169</v>
      </c>
      <c r="AJ72" s="117">
        <v>150000</v>
      </c>
      <c r="AK72" s="20">
        <v>1</v>
      </c>
      <c r="AL72" s="99">
        <f t="shared" si="17"/>
        <v>78</v>
      </c>
      <c r="AM72" s="117">
        <f t="shared" si="9"/>
        <v>11700000</v>
      </c>
      <c r="AN72" s="20"/>
    </row>
    <row r="73" spans="1:40">
      <c r="G73" t="s">
        <v>4108</v>
      </c>
      <c r="M73" s="96"/>
      <c r="N73" s="96"/>
      <c r="P73" s="115" t="s">
        <v>25</v>
      </c>
      <c r="Q73" s="170">
        <v>3969956</v>
      </c>
      <c r="R73" s="169" t="s">
        <v>4541</v>
      </c>
      <c r="S73" s="169">
        <f>S72-2</f>
        <v>6</v>
      </c>
      <c r="T73" s="73" t="s">
        <v>4542</v>
      </c>
      <c r="U73" s="169">
        <v>396500</v>
      </c>
      <c r="V73" s="99">
        <f t="shared" si="14"/>
        <v>402765.7863013699</v>
      </c>
      <c r="W73" s="32">
        <f t="shared" si="15"/>
        <v>410821.10202739731</v>
      </c>
      <c r="X73" s="32">
        <f t="shared" si="16"/>
        <v>418876.41775342473</v>
      </c>
      <c r="AH73" s="181">
        <v>53</v>
      </c>
      <c r="AI73" s="182" t="s">
        <v>4175</v>
      </c>
      <c r="AJ73" s="182">
        <v>29000000</v>
      </c>
      <c r="AK73" s="181">
        <v>15</v>
      </c>
      <c r="AL73" s="181">
        <f t="shared" si="17"/>
        <v>77</v>
      </c>
      <c r="AM73" s="182">
        <f t="shared" si="9"/>
        <v>2233000000</v>
      </c>
      <c r="AN73" s="181" t="s">
        <v>4189</v>
      </c>
    </row>
    <row r="74" spans="1:40">
      <c r="M74" s="96">
        <f>O44+O45+O21+O28-O55</f>
        <v>1106305</v>
      </c>
      <c r="N74" s="113">
        <f>M74*P44</f>
        <v>191169504</v>
      </c>
      <c r="O74" t="s">
        <v>25</v>
      </c>
      <c r="P74" s="115"/>
      <c r="Q74" s="170">
        <v>3894862</v>
      </c>
      <c r="R74" s="169" t="s">
        <v>4550</v>
      </c>
      <c r="S74" s="169">
        <f>S73-2</f>
        <v>4</v>
      </c>
      <c r="T74" s="73" t="s">
        <v>4558</v>
      </c>
      <c r="U74" s="169">
        <v>389000</v>
      </c>
      <c r="V74" s="99">
        <f t="shared" si="14"/>
        <v>394550.44383561652</v>
      </c>
      <c r="W74" s="32">
        <f t="shared" si="15"/>
        <v>402441.45271232887</v>
      </c>
      <c r="X74" s="32">
        <f t="shared" si="16"/>
        <v>410332.46158904117</v>
      </c>
      <c r="AH74" s="20">
        <v>54</v>
      </c>
      <c r="AI74" s="117" t="s">
        <v>4213</v>
      </c>
      <c r="AJ74" s="117">
        <v>-130000</v>
      </c>
      <c r="AK74" s="20">
        <v>7</v>
      </c>
      <c r="AL74" s="99">
        <f t="shared" si="17"/>
        <v>62</v>
      </c>
      <c r="AM74" s="117">
        <f t="shared" si="9"/>
        <v>-8060000</v>
      </c>
      <c r="AN74" s="20" t="s">
        <v>4215</v>
      </c>
    </row>
    <row r="75" spans="1:40">
      <c r="M75" t="s">
        <v>4278</v>
      </c>
      <c r="N75" t="s">
        <v>4275</v>
      </c>
      <c r="P75" s="115"/>
      <c r="Q75" s="170">
        <v>5881743</v>
      </c>
      <c r="R75" s="169" t="s">
        <v>4557</v>
      </c>
      <c r="S75" s="169">
        <f>S74-3</f>
        <v>1</v>
      </c>
      <c r="T75" s="73" t="s">
        <v>4564</v>
      </c>
      <c r="U75" s="169">
        <v>172.2</v>
      </c>
      <c r="V75" s="99">
        <f t="shared" si="14"/>
        <v>174.26073863013698</v>
      </c>
      <c r="W75" s="32">
        <f t="shared" si="15"/>
        <v>177.74595340273973</v>
      </c>
      <c r="X75" s="32">
        <f t="shared" si="16"/>
        <v>181.23116817534248</v>
      </c>
      <c r="AH75" s="20">
        <v>55</v>
      </c>
      <c r="AI75" s="117" t="s">
        <v>4268</v>
      </c>
      <c r="AJ75" s="117">
        <v>232000</v>
      </c>
      <c r="AK75" s="20">
        <v>2</v>
      </c>
      <c r="AL75" s="99">
        <f t="shared" si="17"/>
        <v>55</v>
      </c>
      <c r="AM75" s="117">
        <f>AJ75*AL75</f>
        <v>12760000</v>
      </c>
      <c r="AN75" s="20" t="s">
        <v>4270</v>
      </c>
    </row>
    <row r="76" spans="1:40">
      <c r="D76" s="3"/>
      <c r="E76" s="11" t="s">
        <v>304</v>
      </c>
      <c r="N76" t="s">
        <v>25</v>
      </c>
      <c r="P76" s="115"/>
      <c r="Q76" s="170">
        <v>4025024</v>
      </c>
      <c r="R76" s="169" t="s">
        <v>4557</v>
      </c>
      <c r="S76" s="169">
        <f>S75</f>
        <v>1</v>
      </c>
      <c r="T76" s="73" t="s">
        <v>4562</v>
      </c>
      <c r="U76" s="169">
        <v>402000</v>
      </c>
      <c r="V76" s="99">
        <f t="shared" si="14"/>
        <v>406810.78356164385</v>
      </c>
      <c r="W76" s="32">
        <f t="shared" si="15"/>
        <v>414946.99923287675</v>
      </c>
      <c r="X76" s="32">
        <f t="shared" si="16"/>
        <v>423083.2149041096</v>
      </c>
      <c r="AH76" s="20">
        <v>56</v>
      </c>
      <c r="AI76" s="117" t="s">
        <v>4280</v>
      </c>
      <c r="AJ76" s="117">
        <v>-170000</v>
      </c>
      <c r="AK76" s="20">
        <v>3</v>
      </c>
      <c r="AL76" s="99">
        <f t="shared" si="17"/>
        <v>53</v>
      </c>
      <c r="AM76" s="117">
        <f t="shared" si="9"/>
        <v>-9010000</v>
      </c>
      <c r="AN76" s="20"/>
    </row>
    <row r="77" spans="1:40">
      <c r="D77" s="1" t="s">
        <v>305</v>
      </c>
      <c r="E77" s="1">
        <v>70000</v>
      </c>
      <c r="P77" s="115"/>
      <c r="Q77" s="170">
        <v>3919893</v>
      </c>
      <c r="R77" s="169" t="s">
        <v>4560</v>
      </c>
      <c r="S77" s="169">
        <f>S76-1</f>
        <v>0</v>
      </c>
      <c r="T77" s="73" t="s">
        <v>4561</v>
      </c>
      <c r="U77" s="169">
        <v>391500</v>
      </c>
      <c r="V77" s="99">
        <f t="shared" si="14"/>
        <v>395884.80000000005</v>
      </c>
      <c r="W77" s="32">
        <f t="shared" si="15"/>
        <v>403802.49600000004</v>
      </c>
      <c r="X77" s="32">
        <f t="shared" si="16"/>
        <v>411720.19200000004</v>
      </c>
      <c r="AH77" s="20">
        <v>57</v>
      </c>
      <c r="AI77" s="117" t="s">
        <v>4294</v>
      </c>
      <c r="AJ77" s="117">
        <v>-300000</v>
      </c>
      <c r="AK77" s="20">
        <v>3</v>
      </c>
      <c r="AL77" s="99">
        <f t="shared" si="17"/>
        <v>50</v>
      </c>
      <c r="AM77" s="117">
        <f t="shared" si="9"/>
        <v>-15000000</v>
      </c>
      <c r="AN77" s="20"/>
    </row>
    <row r="78" spans="1:40">
      <c r="D78" s="1" t="s">
        <v>321</v>
      </c>
      <c r="E78" s="1">
        <v>100000</v>
      </c>
      <c r="M78" t="s">
        <v>949</v>
      </c>
      <c r="N78">
        <v>6.3E-3</v>
      </c>
      <c r="P78" s="115"/>
      <c r="Q78" s="170"/>
      <c r="R78" s="169"/>
      <c r="S78" s="169"/>
      <c r="T78" s="169"/>
      <c r="U78" s="169"/>
      <c r="V78" s="99" t="s">
        <v>25</v>
      </c>
      <c r="W78" s="32"/>
      <c r="X78" s="32"/>
      <c r="AD78" s="115"/>
      <c r="AE78" s="115"/>
      <c r="AH78" s="20">
        <v>58</v>
      </c>
      <c r="AI78" s="117" t="s">
        <v>4303</v>
      </c>
      <c r="AJ78" s="117">
        <v>-11400000</v>
      </c>
      <c r="AK78" s="20">
        <v>13</v>
      </c>
      <c r="AL78" s="99">
        <f>AL79+AK78</f>
        <v>47</v>
      </c>
      <c r="AM78" s="117">
        <f t="shared" si="9"/>
        <v>-535800000</v>
      </c>
      <c r="AN78" s="20"/>
    </row>
    <row r="79" spans="1:40">
      <c r="D79" s="1" t="s">
        <v>306</v>
      </c>
      <c r="E79" s="1">
        <v>80000</v>
      </c>
      <c r="M79" t="s">
        <v>61</v>
      </c>
      <c r="N79">
        <v>4.8999999999999998E-3</v>
      </c>
      <c r="P79" s="115"/>
      <c r="Q79" s="113">
        <f>SUM(N43:N51)-SUM(Q50:Q78)</f>
        <v>-23738386.800000042</v>
      </c>
      <c r="R79" s="112"/>
      <c r="S79" s="112"/>
      <c r="T79" s="112"/>
      <c r="U79" s="169"/>
      <c r="V79" s="99" t="s">
        <v>25</v>
      </c>
      <c r="W79" s="32"/>
      <c r="X79" s="32"/>
      <c r="AC79" s="115"/>
      <c r="AD79" s="115"/>
      <c r="AE79" s="115"/>
      <c r="AF79"/>
      <c r="AH79" s="20">
        <v>59</v>
      </c>
      <c r="AI79" s="117" t="s">
        <v>4364</v>
      </c>
      <c r="AJ79" s="117">
        <v>-10000000</v>
      </c>
      <c r="AK79" s="20">
        <v>1</v>
      </c>
      <c r="AL79" s="99">
        <f>AL80+AK79</f>
        <v>34</v>
      </c>
      <c r="AM79" s="117">
        <f>AJ79*AL79</f>
        <v>-340000000</v>
      </c>
      <c r="AN79" s="20"/>
    </row>
    <row r="80" spans="1:40">
      <c r="D80" s="31" t="s">
        <v>307</v>
      </c>
      <c r="E80" s="1">
        <v>150000</v>
      </c>
      <c r="J80" t="s">
        <v>25</v>
      </c>
      <c r="M80" t="s">
        <v>6</v>
      </c>
      <c r="N80">
        <f>N78+N79</f>
        <v>1.12E-2</v>
      </c>
      <c r="P80" s="115"/>
      <c r="Q80" s="26"/>
      <c r="R80" s="185"/>
      <c r="S80" s="185"/>
      <c r="T80" t="s">
        <v>25</v>
      </c>
      <c r="U80" s="96" t="s">
        <v>25</v>
      </c>
      <c r="V80" s="96" t="s">
        <v>25</v>
      </c>
      <c r="AC80" s="115"/>
      <c r="AD80" s="115"/>
      <c r="AE80" s="115"/>
      <c r="AF80"/>
      <c r="AH80" s="20">
        <v>60</v>
      </c>
      <c r="AI80" s="117" t="s">
        <v>4365</v>
      </c>
      <c r="AJ80" s="117">
        <v>-2450000</v>
      </c>
      <c r="AK80" s="20">
        <v>5</v>
      </c>
      <c r="AL80" s="99">
        <f>AL81+AK80</f>
        <v>33</v>
      </c>
      <c r="AM80" s="117">
        <f>AJ80*AL80</f>
        <v>-80850000</v>
      </c>
      <c r="AN80" s="20"/>
    </row>
    <row r="81" spans="4:52">
      <c r="D81" s="31" t="s">
        <v>308</v>
      </c>
      <c r="E81" s="1">
        <v>300000</v>
      </c>
      <c r="O81" t="s">
        <v>25</v>
      </c>
      <c r="P81" t="s">
        <v>25</v>
      </c>
      <c r="R81" t="s">
        <v>25</v>
      </c>
      <c r="T81" t="s">
        <v>25</v>
      </c>
      <c r="U81" s="96" t="s">
        <v>25</v>
      </c>
      <c r="V81" s="96" t="s">
        <v>25</v>
      </c>
      <c r="W81" s="96" t="s">
        <v>25</v>
      </c>
      <c r="AD81" s="115"/>
      <c r="AE81" s="115"/>
      <c r="AF81" s="115"/>
      <c r="AH81" s="20">
        <v>61</v>
      </c>
      <c r="AI81" s="117" t="s">
        <v>4389</v>
      </c>
      <c r="AJ81" s="117">
        <v>-456081</v>
      </c>
      <c r="AK81" s="20">
        <v>1</v>
      </c>
      <c r="AL81" s="99">
        <f t="shared" si="17"/>
        <v>28</v>
      </c>
      <c r="AM81" s="117">
        <f t="shared" si="9"/>
        <v>-12770268</v>
      </c>
      <c r="AN81" s="20"/>
      <c r="AS81" s="96"/>
      <c r="AU81"/>
    </row>
    <row r="82" spans="4:52">
      <c r="D82" s="31" t="s">
        <v>309</v>
      </c>
      <c r="E82" s="1">
        <v>100000</v>
      </c>
      <c r="G82" s="48" t="s">
        <v>788</v>
      </c>
      <c r="H82" s="207" t="s">
        <v>476</v>
      </c>
      <c r="Q82" t="s">
        <v>25</v>
      </c>
      <c r="R82" t="s">
        <v>25</v>
      </c>
      <c r="T82" t="s">
        <v>25</v>
      </c>
      <c r="U82" s="96" t="s">
        <v>25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4391</v>
      </c>
      <c r="AJ82" s="117">
        <v>-500000</v>
      </c>
      <c r="AK82" s="20">
        <v>2</v>
      </c>
      <c r="AL82" s="99">
        <f>AL83+AK82</f>
        <v>27</v>
      </c>
      <c r="AM82" s="117">
        <f t="shared" si="9"/>
        <v>-13500000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7" t="s">
        <v>1039</v>
      </c>
      <c r="Q83" t="s">
        <v>25</v>
      </c>
      <c r="S83" t="s">
        <v>25</v>
      </c>
      <c r="T83" t="s">
        <v>25</v>
      </c>
      <c r="U83" s="96" t="s">
        <v>25</v>
      </c>
      <c r="W83" s="96" t="s">
        <v>25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4412</v>
      </c>
      <c r="AJ83" s="117">
        <v>-6234370</v>
      </c>
      <c r="AK83" s="20">
        <v>3</v>
      </c>
      <c r="AL83" s="99">
        <f t="shared" si="17"/>
        <v>25</v>
      </c>
      <c r="AM83" s="117">
        <f t="shared" si="9"/>
        <v>-155859250</v>
      </c>
      <c r="AN83" s="20"/>
    </row>
    <row r="84" spans="4:52">
      <c r="D84" s="18" t="s">
        <v>311</v>
      </c>
      <c r="E84" s="18">
        <v>300000</v>
      </c>
      <c r="G84" s="47">
        <v>500000</v>
      </c>
      <c r="H84" s="207" t="s">
        <v>479</v>
      </c>
      <c r="V84" s="96"/>
      <c r="W84"/>
      <c r="Y84" s="128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4423</v>
      </c>
      <c r="AJ84" s="117">
        <v>1950957</v>
      </c>
      <c r="AK84" s="20">
        <v>4</v>
      </c>
      <c r="AL84" s="99">
        <f t="shared" si="17"/>
        <v>22</v>
      </c>
      <c r="AM84" s="117">
        <f t="shared" si="9"/>
        <v>42921054</v>
      </c>
      <c r="AN84" s="20"/>
      <c r="AQ84" t="s">
        <v>25</v>
      </c>
      <c r="AR84" t="s">
        <v>25</v>
      </c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7" t="s">
        <v>558</v>
      </c>
      <c r="M85" s="199"/>
      <c r="P85" t="s">
        <v>25</v>
      </c>
      <c r="V85" s="96"/>
      <c r="W85"/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4459</v>
      </c>
      <c r="AJ85" s="117">
        <v>600000</v>
      </c>
      <c r="AK85" s="20">
        <v>5</v>
      </c>
      <c r="AL85" s="99">
        <f t="shared" si="17"/>
        <v>18</v>
      </c>
      <c r="AM85" s="117">
        <f t="shared" si="9"/>
        <v>10800000</v>
      </c>
      <c r="AN85" s="20"/>
    </row>
    <row r="86" spans="4:52">
      <c r="D86" s="32" t="s">
        <v>313</v>
      </c>
      <c r="E86" s="1">
        <v>20000</v>
      </c>
      <c r="G86" s="47">
        <v>0</v>
      </c>
      <c r="H86" s="207" t="s">
        <v>784</v>
      </c>
      <c r="Q86" s="99" t="s">
        <v>4507</v>
      </c>
      <c r="R86" s="99" t="s">
        <v>4509</v>
      </c>
      <c r="S86" s="99"/>
      <c r="T86" s="99" t="s">
        <v>4510</v>
      </c>
      <c r="U86" s="99"/>
      <c r="V86" s="99"/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4472</v>
      </c>
      <c r="AJ86" s="117">
        <v>7500000</v>
      </c>
      <c r="AK86" s="20">
        <v>2</v>
      </c>
      <c r="AL86" s="99">
        <f t="shared" si="17"/>
        <v>13</v>
      </c>
      <c r="AM86" s="117">
        <f t="shared" si="9"/>
        <v>97500000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7" t="s">
        <v>785</v>
      </c>
      <c r="Q87" s="113">
        <v>1000</v>
      </c>
      <c r="R87" s="99">
        <v>0.25</v>
      </c>
      <c r="S87" s="99"/>
      <c r="T87" s="99">
        <f>1-R87</f>
        <v>0.75</v>
      </c>
      <c r="U87" s="99"/>
      <c r="V87" s="99"/>
      <c r="Y87" s="128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4482</v>
      </c>
      <c r="AJ87" s="117">
        <v>-587816</v>
      </c>
      <c r="AK87" s="20">
        <v>3</v>
      </c>
      <c r="AL87" s="99">
        <f t="shared" si="17"/>
        <v>11</v>
      </c>
      <c r="AM87" s="117">
        <f t="shared" si="9"/>
        <v>-6465976</v>
      </c>
      <c r="AN87" s="20"/>
      <c r="AV87" t="s">
        <v>25</v>
      </c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169" t="s">
        <v>4493</v>
      </c>
      <c r="R88" s="169" t="s">
        <v>4512</v>
      </c>
      <c r="S88" s="169" t="s">
        <v>4514</v>
      </c>
      <c r="T88" s="169" t="s">
        <v>180</v>
      </c>
      <c r="U88" s="169" t="s">
        <v>4508</v>
      </c>
      <c r="V88" s="56" t="s">
        <v>4511</v>
      </c>
      <c r="X88" s="115"/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4481</v>
      </c>
      <c r="AJ88" s="117">
        <v>-907489</v>
      </c>
      <c r="AK88" s="20">
        <v>0</v>
      </c>
      <c r="AL88" s="99">
        <f>AL89+AK88</f>
        <v>8</v>
      </c>
      <c r="AM88" s="117">
        <f t="shared" si="9"/>
        <v>-7259912</v>
      </c>
      <c r="AN88" s="20"/>
      <c r="AP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L89" s="99"/>
      <c r="M89" s="208" t="s">
        <v>4465</v>
      </c>
      <c r="N89" s="169" t="s">
        <v>4311</v>
      </c>
      <c r="O89" s="169" t="s">
        <v>180</v>
      </c>
      <c r="Q89" s="169" t="s">
        <v>751</v>
      </c>
      <c r="R89" s="56">
        <v>720930</v>
      </c>
      <c r="S89" s="113">
        <f>R89*$T$115</f>
        <v>175102926.47420987</v>
      </c>
      <c r="T89" s="169" t="s">
        <v>4506</v>
      </c>
      <c r="U89" s="169">
        <f>$Q$87*$T$87*S89/$R$113</f>
        <v>505.96455143747187</v>
      </c>
      <c r="V89" s="95">
        <f>S89+U89</f>
        <v>175103432.43876132</v>
      </c>
      <c r="X89" s="163"/>
      <c r="Y89" s="115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4481</v>
      </c>
      <c r="AJ89" s="117">
        <v>2450000</v>
      </c>
      <c r="AK89" s="20">
        <v>1</v>
      </c>
      <c r="AL89" s="99">
        <f t="shared" si="17"/>
        <v>8</v>
      </c>
      <c r="AM89" s="117">
        <f t="shared" si="9"/>
        <v>19600000</v>
      </c>
      <c r="AN89" s="20" t="s">
        <v>4527</v>
      </c>
      <c r="AQ89" t="s">
        <v>25</v>
      </c>
      <c r="AU89" s="96" t="s">
        <v>25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L90" s="99" t="s">
        <v>4247</v>
      </c>
      <c r="M90" s="209">
        <v>1705</v>
      </c>
      <c r="N90" s="170">
        <v>1759</v>
      </c>
      <c r="O90" s="99" t="s">
        <v>4557</v>
      </c>
      <c r="Q90" s="169" t="s">
        <v>4495</v>
      </c>
      <c r="R90" s="56">
        <v>317725</v>
      </c>
      <c r="S90" s="113">
        <f>R90*$T$115</f>
        <v>77170567.619627878</v>
      </c>
      <c r="T90" s="169" t="s">
        <v>4506</v>
      </c>
      <c r="U90" s="169">
        <f>$Q$87*$T$87*S90/$R$113+Q87*R87</f>
        <v>472.9864024322344</v>
      </c>
      <c r="V90" s="95">
        <f>S90+U90</f>
        <v>77171040.606030315</v>
      </c>
      <c r="X90" s="115"/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4531</v>
      </c>
      <c r="AJ90" s="117">
        <v>1500000</v>
      </c>
      <c r="AK90" s="20">
        <v>1</v>
      </c>
      <c r="AL90" s="99">
        <f t="shared" si="17"/>
        <v>7</v>
      </c>
      <c r="AM90" s="117">
        <f t="shared" si="9"/>
        <v>10500000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L91" s="99" t="s">
        <v>1086</v>
      </c>
      <c r="M91" s="209">
        <v>3815000</v>
      </c>
      <c r="N91" s="170">
        <v>4015000</v>
      </c>
      <c r="O91" s="99" t="s">
        <v>4557</v>
      </c>
      <c r="Q91" s="169" t="s">
        <v>1087</v>
      </c>
      <c r="R91" s="56">
        <v>9370</v>
      </c>
      <c r="S91" s="113">
        <f>R91*$T$115</f>
        <v>2275830.4149686466</v>
      </c>
      <c r="T91" s="169" t="s">
        <v>4506</v>
      </c>
      <c r="U91" s="169">
        <f>$Q$87*$T$87*S91/$R$113</f>
        <v>6.5760723606579159</v>
      </c>
      <c r="V91" s="95">
        <f>S91+U91</f>
        <v>2275836.9910410075</v>
      </c>
      <c r="X91" s="115"/>
      <c r="Y91" s="115"/>
      <c r="Z91" s="115"/>
      <c r="AA91" s="115"/>
      <c r="AE91"/>
      <c r="AG91" s="96"/>
      <c r="AH91" s="20">
        <v>71</v>
      </c>
      <c r="AI91" s="117" t="s">
        <v>4541</v>
      </c>
      <c r="AJ91" s="117">
        <v>2648000</v>
      </c>
      <c r="AK91" s="20">
        <v>1</v>
      </c>
      <c r="AL91" s="99">
        <f t="shared" si="17"/>
        <v>6</v>
      </c>
      <c r="AM91" s="117">
        <f t="shared" si="9"/>
        <v>15888000</v>
      </c>
      <c r="AN91" s="20" t="s">
        <v>4543</v>
      </c>
      <c r="AQ91" t="s">
        <v>25</v>
      </c>
      <c r="AV91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L92" s="99"/>
      <c r="M92" s="209"/>
      <c r="N92" s="170"/>
      <c r="O92" s="99"/>
      <c r="Q92" s="169" t="s">
        <v>4494</v>
      </c>
      <c r="R92" s="56">
        <v>20622</v>
      </c>
      <c r="S92" s="113">
        <f>R92*$T$115</f>
        <v>5008769.9911935357</v>
      </c>
      <c r="T92" s="169" t="s">
        <v>4506</v>
      </c>
      <c r="U92" s="169">
        <f>$Q$87*$T$87*S92/$R$113</f>
        <v>14.472973769635809</v>
      </c>
      <c r="V92" s="95">
        <f>S92+U92</f>
        <v>5008784.4641673053</v>
      </c>
      <c r="X92" s="115"/>
      <c r="Y92" s="115"/>
      <c r="Z92" s="115"/>
      <c r="AA92" s="115"/>
      <c r="AE92"/>
      <c r="AG92" s="96"/>
      <c r="AH92" s="20">
        <v>72</v>
      </c>
      <c r="AI92" s="117" t="s">
        <v>4235</v>
      </c>
      <c r="AJ92" s="117">
        <v>615000</v>
      </c>
      <c r="AK92" s="20">
        <v>4</v>
      </c>
      <c r="AL92" s="99">
        <f t="shared" si="17"/>
        <v>5</v>
      </c>
      <c r="AM92" s="117">
        <f t="shared" si="9"/>
        <v>3075000</v>
      </c>
      <c r="AN92" s="20"/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L93" s="99"/>
      <c r="M93" s="209"/>
      <c r="N93" s="170"/>
      <c r="O93" s="99"/>
      <c r="P93" s="115"/>
      <c r="Q93" s="169"/>
      <c r="R93" s="56"/>
      <c r="S93" s="169"/>
      <c r="T93" s="169"/>
      <c r="U93" s="169"/>
      <c r="V93" s="99"/>
      <c r="X93" s="115"/>
      <c r="Y93" s="115"/>
      <c r="Z93" s="115"/>
      <c r="AA93" s="115"/>
      <c r="AE93"/>
      <c r="AG93" s="96"/>
      <c r="AH93" s="20">
        <v>73</v>
      </c>
      <c r="AI93" s="117" t="s">
        <v>4557</v>
      </c>
      <c r="AJ93" s="117">
        <v>14000000</v>
      </c>
      <c r="AK93" s="20">
        <v>1</v>
      </c>
      <c r="AL93" s="99">
        <f>AL94+AK93</f>
        <v>1</v>
      </c>
      <c r="AM93" s="117">
        <f t="shared" si="9"/>
        <v>14000000</v>
      </c>
      <c r="AN93" s="20"/>
      <c r="AT93" s="96" t="s">
        <v>25</v>
      </c>
    </row>
    <row r="94" spans="4:52">
      <c r="D94" s="32" t="s">
        <v>322</v>
      </c>
      <c r="E94" s="1">
        <v>150000</v>
      </c>
      <c r="G94" s="47"/>
      <c r="H94" s="48" t="s">
        <v>25</v>
      </c>
      <c r="L94" s="99"/>
      <c r="M94" s="209"/>
      <c r="N94" s="170"/>
      <c r="O94" s="99"/>
      <c r="P94" s="128"/>
      <c r="Q94" s="169"/>
      <c r="R94" s="56"/>
      <c r="S94" s="169"/>
      <c r="T94" s="169"/>
      <c r="U94" s="169"/>
      <c r="V94" s="169"/>
      <c r="W94" s="115" t="s">
        <v>25</v>
      </c>
      <c r="X94" s="96"/>
      <c r="AH94" s="20"/>
      <c r="AI94" s="117"/>
      <c r="AJ94" s="117"/>
      <c r="AK94" s="20"/>
      <c r="AL94" s="99">
        <f t="shared" si="17"/>
        <v>0</v>
      </c>
      <c r="AM94" s="117">
        <f t="shared" si="9"/>
        <v>0</v>
      </c>
      <c r="AN94" s="20"/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L95" s="99"/>
      <c r="M95" s="209"/>
      <c r="N95" s="170"/>
      <c r="O95" s="99"/>
      <c r="P95" s="128"/>
      <c r="Q95" s="169"/>
      <c r="R95" s="169"/>
      <c r="S95" s="169"/>
      <c r="T95" s="169"/>
      <c r="U95" s="169"/>
      <c r="V95" s="169"/>
      <c r="W95" s="115"/>
      <c r="X95" s="96"/>
      <c r="AH95" s="99"/>
      <c r="AI95" s="113"/>
      <c r="AJ95" s="113"/>
      <c r="AK95" s="99"/>
      <c r="AL95" s="99">
        <f t="shared" si="17"/>
        <v>0</v>
      </c>
      <c r="AM95" s="117">
        <f t="shared" si="9"/>
        <v>0</v>
      </c>
      <c r="AN95" s="99"/>
    </row>
    <row r="96" spans="4:52">
      <c r="D96" s="32" t="s">
        <v>314</v>
      </c>
      <c r="E96" s="1">
        <v>140000</v>
      </c>
      <c r="L96" s="99"/>
      <c r="M96" s="209"/>
      <c r="N96" s="170"/>
      <c r="O96" s="99"/>
      <c r="P96" s="115"/>
      <c r="Q96" s="99"/>
      <c r="R96" s="99"/>
      <c r="S96" s="99"/>
      <c r="T96" s="99" t="s">
        <v>25</v>
      </c>
      <c r="U96" s="99"/>
      <c r="V96" s="99"/>
      <c r="W96" s="115"/>
      <c r="X96" s="96"/>
      <c r="AH96" s="99"/>
      <c r="AI96" s="113"/>
      <c r="AJ96" s="113"/>
      <c r="AK96" s="99"/>
      <c r="AL96" s="99">
        <f t="shared" si="17"/>
        <v>0</v>
      </c>
      <c r="AM96" s="117">
        <f t="shared" si="9"/>
        <v>0</v>
      </c>
      <c r="AN96" s="99"/>
    </row>
    <row r="97" spans="4:47">
      <c r="D97" s="2" t="s">
        <v>478</v>
      </c>
      <c r="E97" s="3">
        <v>1083333</v>
      </c>
      <c r="L97" s="99"/>
      <c r="M97" s="209"/>
      <c r="N97" s="170"/>
      <c r="O97" s="99"/>
      <c r="Q97" s="99"/>
      <c r="R97" s="99"/>
      <c r="S97" s="99"/>
      <c r="T97" s="99"/>
      <c r="U97" s="99"/>
      <c r="V97" s="99"/>
      <c r="W97" s="115"/>
      <c r="X97" s="96"/>
      <c r="AH97" s="99"/>
      <c r="AI97" s="99"/>
      <c r="AJ97" s="95">
        <f>SUM(AJ20:AJ95)</f>
        <v>220952100</v>
      </c>
      <c r="AK97" s="99"/>
      <c r="AL97" s="99"/>
      <c r="AM97" s="95">
        <f>SUM(AM20:AM96)</f>
        <v>23645866137</v>
      </c>
      <c r="AN97" s="95">
        <f>AM97*AN100/31</f>
        <v>15255397.507741936</v>
      </c>
    </row>
    <row r="98" spans="4:47">
      <c r="D98" s="2"/>
      <c r="E98" s="3"/>
      <c r="H98" s="96"/>
      <c r="L98" s="99"/>
      <c r="Q98" s="99"/>
      <c r="R98" s="99"/>
      <c r="S98" s="99"/>
      <c r="T98" s="99"/>
      <c r="U98" s="99"/>
      <c r="V98" s="99"/>
      <c r="W98" s="115"/>
      <c r="X98" s="96"/>
      <c r="AH98" s="99"/>
      <c r="AI98" s="99"/>
      <c r="AJ98" s="99" t="s">
        <v>4062</v>
      </c>
      <c r="AK98" s="99"/>
      <c r="AL98" s="99"/>
      <c r="AM98" s="99" t="s">
        <v>284</v>
      </c>
      <c r="AN98" s="99" t="s">
        <v>943</v>
      </c>
    </row>
    <row r="99" spans="4:47">
      <c r="D99" s="2"/>
      <c r="E99" s="3"/>
      <c r="L99" s="99"/>
      <c r="M99" s="209">
        <v>3965000</v>
      </c>
      <c r="N99" s="170"/>
      <c r="O99" s="99" t="s">
        <v>4541</v>
      </c>
      <c r="Q99" s="96"/>
      <c r="R99" s="96"/>
      <c r="S99" s="96"/>
      <c r="T99" s="96"/>
      <c r="V99" s="96"/>
      <c r="X99" s="115"/>
      <c r="AH99" s="99"/>
      <c r="AI99" s="99"/>
      <c r="AJ99" s="99"/>
      <c r="AK99" s="99"/>
      <c r="AL99" s="99"/>
      <c r="AM99" s="99"/>
      <c r="AN99" s="99"/>
    </row>
    <row r="100" spans="4:47">
      <c r="D100" s="2" t="s">
        <v>6</v>
      </c>
      <c r="E100" s="3">
        <f>SUM(E77:E98)</f>
        <v>3383333</v>
      </c>
      <c r="L100" s="99"/>
      <c r="M100" s="209">
        <v>3880000</v>
      </c>
      <c r="N100" s="170"/>
      <c r="O100" s="99" t="s">
        <v>4550</v>
      </c>
      <c r="Q100" s="96"/>
      <c r="R100" s="96"/>
      <c r="S100" s="96"/>
      <c r="T100" s="96"/>
      <c r="V100" s="96"/>
      <c r="AB100" s="96"/>
      <c r="AC100" s="96"/>
      <c r="AH100" s="99"/>
      <c r="AI100" s="99"/>
      <c r="AJ100" s="99"/>
      <c r="AK100" s="99"/>
      <c r="AL100" s="99"/>
      <c r="AM100" s="99" t="s">
        <v>4063</v>
      </c>
      <c r="AN100" s="99">
        <v>0.02</v>
      </c>
    </row>
    <row r="101" spans="4:47">
      <c r="D101" s="2" t="s">
        <v>328</v>
      </c>
      <c r="E101" s="3">
        <f>E100/30</f>
        <v>112777.76666666666</v>
      </c>
      <c r="L101" s="99" t="s">
        <v>4559</v>
      </c>
      <c r="M101" s="210"/>
      <c r="N101" s="170">
        <v>3894000</v>
      </c>
      <c r="O101" s="99" t="s">
        <v>4552</v>
      </c>
      <c r="Q101" s="96"/>
      <c r="R101" s="96"/>
      <c r="S101" s="96"/>
      <c r="T101" s="96" t="s">
        <v>25</v>
      </c>
      <c r="V101" s="96"/>
      <c r="AB101" s="96"/>
      <c r="AC101" s="96"/>
      <c r="AH101" s="99"/>
      <c r="AI101" s="99"/>
      <c r="AJ101" s="99"/>
      <c r="AK101" s="99"/>
      <c r="AL101" s="99"/>
      <c r="AM101" s="99"/>
      <c r="AN101" s="99"/>
    </row>
    <row r="102" spans="4:47">
      <c r="L102" s="99"/>
      <c r="M102" s="209"/>
      <c r="N102" s="170">
        <v>3845000</v>
      </c>
      <c r="O102" s="99" t="s">
        <v>4552</v>
      </c>
      <c r="Q102" s="96"/>
      <c r="R102" s="96"/>
      <c r="S102" s="96"/>
      <c r="T102" s="96"/>
      <c r="V102" s="96"/>
      <c r="AB102" s="96"/>
      <c r="AC102" s="96"/>
      <c r="AH102" s="99"/>
      <c r="AI102" s="99" t="s">
        <v>4064</v>
      </c>
      <c r="AJ102" s="95">
        <f>AJ97+AN97</f>
        <v>236207497.50774193</v>
      </c>
      <c r="AK102" s="99"/>
      <c r="AL102" s="99"/>
      <c r="AM102" s="99"/>
      <c r="AN102" s="99"/>
    </row>
    <row r="103" spans="4:47">
      <c r="L103" s="99"/>
      <c r="M103" s="209"/>
      <c r="N103" s="170">
        <v>3845000</v>
      </c>
      <c r="O103" s="99" t="s">
        <v>4552</v>
      </c>
      <c r="Q103" s="96"/>
      <c r="R103" s="96"/>
      <c r="S103" s="96"/>
      <c r="T103" s="99" t="s">
        <v>180</v>
      </c>
      <c r="U103" s="99" t="s">
        <v>4532</v>
      </c>
      <c r="V103" s="99" t="s">
        <v>4533</v>
      </c>
      <c r="W103" s="99" t="s">
        <v>4548</v>
      </c>
      <c r="X103" s="99" t="s">
        <v>8</v>
      </c>
      <c r="AB103" s="96"/>
      <c r="AC103" s="96"/>
      <c r="AI103" t="s">
        <v>4067</v>
      </c>
      <c r="AJ103" s="114">
        <f>SUM(N41:N50)-N45</f>
        <v>213930703.59999996</v>
      </c>
    </row>
    <row r="104" spans="4:47" ht="30">
      <c r="L104" s="99"/>
      <c r="M104" s="209"/>
      <c r="N104" s="170">
        <v>3845000</v>
      </c>
      <c r="O104" s="99" t="s">
        <v>4552</v>
      </c>
      <c r="Q104" s="36" t="s">
        <v>4498</v>
      </c>
      <c r="R104" s="95">
        <f>SUM(N43:N51)</f>
        <v>230297489.19999996</v>
      </c>
      <c r="T104" s="113" t="s">
        <v>4506</v>
      </c>
      <c r="U104" s="56">
        <v>1000000</v>
      </c>
      <c r="V104" s="113">
        <v>239.024</v>
      </c>
      <c r="W104" s="113">
        <f>U104*V104</f>
        <v>239024000</v>
      </c>
      <c r="X104" s="99"/>
      <c r="AB104" s="96"/>
      <c r="AC104" s="96"/>
      <c r="AI104" t="s">
        <v>4139</v>
      </c>
      <c r="AJ104" s="114">
        <f>AJ103-AJ97</f>
        <v>-7021396.4000000358</v>
      </c>
    </row>
    <row r="105" spans="4:47">
      <c r="L105" s="99" t="s">
        <v>4563</v>
      </c>
      <c r="M105" s="209">
        <v>3990000</v>
      </c>
      <c r="N105" s="170"/>
      <c r="O105" s="99" t="s">
        <v>4557</v>
      </c>
      <c r="Q105" s="99" t="s">
        <v>4496</v>
      </c>
      <c r="R105" s="95">
        <f>SUM(N21:N25)</f>
        <v>24846379.299999997</v>
      </c>
      <c r="T105" s="169" t="s">
        <v>4481</v>
      </c>
      <c r="U105" s="56">
        <v>5904</v>
      </c>
      <c r="V105" s="113">
        <v>237.148</v>
      </c>
      <c r="W105" s="113">
        <f t="shared" ref="W105:W111" si="18">U105*V105</f>
        <v>1400121.7919999999</v>
      </c>
      <c r="X105" s="99" t="s">
        <v>1087</v>
      </c>
      <c r="AB105" s="96"/>
      <c r="AC105" s="96"/>
      <c r="AI105" t="s">
        <v>943</v>
      </c>
      <c r="AJ105" s="114">
        <f>AN97</f>
        <v>15255397.507741936</v>
      </c>
    </row>
    <row r="106" spans="4:47">
      <c r="L106" s="99"/>
      <c r="M106" s="209">
        <v>3915000</v>
      </c>
      <c r="N106" s="170"/>
      <c r="O106" s="99" t="s">
        <v>4560</v>
      </c>
      <c r="Q106" s="99" t="s">
        <v>4497</v>
      </c>
      <c r="R106" s="95">
        <f>SUM(N28:N30)</f>
        <v>2845991</v>
      </c>
      <c r="T106" s="169" t="s">
        <v>4235</v>
      </c>
      <c r="U106" s="169">
        <v>1000</v>
      </c>
      <c r="V106" s="113">
        <v>247.393</v>
      </c>
      <c r="W106" s="113">
        <f t="shared" si="18"/>
        <v>247393</v>
      </c>
      <c r="X106" s="99" t="s">
        <v>751</v>
      </c>
      <c r="AB106" s="96"/>
      <c r="AC106" s="96"/>
      <c r="AI106" t="s">
        <v>4068</v>
      </c>
      <c r="AJ106" s="114">
        <f>AJ103-AJ102</f>
        <v>-22276793.907741964</v>
      </c>
    </row>
    <row r="107" spans="4:47">
      <c r="L107" s="99"/>
      <c r="M107" s="209"/>
      <c r="N107" s="170"/>
      <c r="O107" s="99"/>
      <c r="Q107" s="99" t="s">
        <v>4499</v>
      </c>
      <c r="R107" s="95">
        <f>N41</f>
        <v>267896</v>
      </c>
      <c r="T107" s="169" t="s">
        <v>4552</v>
      </c>
      <c r="U107" s="169">
        <v>8071</v>
      </c>
      <c r="V107" s="113">
        <v>247.797</v>
      </c>
      <c r="W107" s="113">
        <f t="shared" si="18"/>
        <v>1999969.5870000001</v>
      </c>
      <c r="X107" s="99" t="s">
        <v>4494</v>
      </c>
      <c r="AB107" s="96"/>
      <c r="AC107" s="96"/>
    </row>
    <row r="108" spans="4:47">
      <c r="L108" s="99"/>
      <c r="M108" s="170"/>
      <c r="N108" s="170"/>
      <c r="O108" s="99"/>
      <c r="Q108" s="99" t="s">
        <v>4500</v>
      </c>
      <c r="R108" s="95">
        <f>N20</f>
        <v>0</v>
      </c>
      <c r="T108" s="169" t="s">
        <v>4552</v>
      </c>
      <c r="U108" s="169">
        <v>53672</v>
      </c>
      <c r="V108" s="113">
        <v>247.797</v>
      </c>
      <c r="W108" s="113">
        <f t="shared" si="18"/>
        <v>13299760.584000001</v>
      </c>
      <c r="X108" s="99" t="s">
        <v>452</v>
      </c>
      <c r="AB108" s="96"/>
      <c r="AC108" s="96"/>
      <c r="AJ108" t="s">
        <v>25</v>
      </c>
    </row>
    <row r="109" spans="4:47">
      <c r="M109" s="58"/>
      <c r="N109" s="58"/>
      <c r="O109" s="115"/>
      <c r="Q109" s="99" t="s">
        <v>4501</v>
      </c>
      <c r="R109" s="95">
        <f>N27</f>
        <v>0</v>
      </c>
      <c r="T109" s="169"/>
      <c r="U109" s="169"/>
      <c r="V109" s="113"/>
      <c r="W109" s="113">
        <f t="shared" si="18"/>
        <v>0</v>
      </c>
      <c r="X109" s="99"/>
      <c r="AC109" s="96"/>
      <c r="AD109" s="96"/>
      <c r="AE109"/>
      <c r="AF109"/>
    </row>
    <row r="110" spans="4:47">
      <c r="M110" t="s">
        <v>25</v>
      </c>
      <c r="Q110" s="99" t="s">
        <v>4513</v>
      </c>
      <c r="R110" s="95">
        <v>1300339</v>
      </c>
      <c r="T110" s="169"/>
      <c r="U110" s="169"/>
      <c r="V110" s="113"/>
      <c r="W110" s="113">
        <f t="shared" si="18"/>
        <v>0</v>
      </c>
      <c r="X110" s="99"/>
      <c r="AR110" s="96"/>
      <c r="AS110" s="96"/>
      <c r="AT110"/>
      <c r="AU110"/>
    </row>
    <row r="111" spans="4:47">
      <c r="M111" s="114">
        <f>SUM(N99:N104)-SUM(M99:M106)</f>
        <v>-321000</v>
      </c>
      <c r="N111" t="s">
        <v>916</v>
      </c>
      <c r="Q111" s="99"/>
      <c r="R111" s="95"/>
      <c r="T111" s="169"/>
      <c r="U111" s="169"/>
      <c r="V111" s="113"/>
      <c r="W111" s="113">
        <f t="shared" si="18"/>
        <v>0</v>
      </c>
      <c r="X111" s="99"/>
    </row>
    <row r="112" spans="4:47">
      <c r="Q112" s="99"/>
      <c r="R112" s="95"/>
      <c r="T112" s="169"/>
      <c r="U112" s="169">
        <f>SUM(U104:U110)</f>
        <v>1068647</v>
      </c>
      <c r="V112" s="99"/>
      <c r="W112" s="99"/>
      <c r="X112" s="99"/>
    </row>
    <row r="113" spans="17:43">
      <c r="Q113" s="99" t="s">
        <v>4505</v>
      </c>
      <c r="R113" s="95">
        <f>SUM(R104:R112)</f>
        <v>259558094.49999994</v>
      </c>
      <c r="S113" s="115"/>
      <c r="T113" s="99"/>
      <c r="U113" s="99" t="s">
        <v>6</v>
      </c>
      <c r="V113" s="99"/>
      <c r="W113" s="99"/>
      <c r="X113" s="99"/>
      <c r="AH113" s="99" t="s">
        <v>3643</v>
      </c>
      <c r="AI113" s="99" t="s">
        <v>180</v>
      </c>
      <c r="AJ113" s="99" t="s">
        <v>267</v>
      </c>
      <c r="AK113" s="99" t="s">
        <v>4061</v>
      </c>
      <c r="AL113" s="99" t="s">
        <v>4053</v>
      </c>
      <c r="AM113" s="99" t="s">
        <v>282</v>
      </c>
      <c r="AN113" s="99" t="s">
        <v>4304</v>
      </c>
    </row>
    <row r="114" spans="17:43">
      <c r="S114" s="122"/>
      <c r="T114" s="206" t="s">
        <v>4534</v>
      </c>
      <c r="AH114" s="99">
        <v>1</v>
      </c>
      <c r="AI114" s="99" t="s">
        <v>3952</v>
      </c>
      <c r="AJ114" s="117">
        <v>3555820</v>
      </c>
      <c r="AK114" s="99">
        <v>2</v>
      </c>
      <c r="AL114" s="99">
        <f>AK114+AL115</f>
        <v>135</v>
      </c>
      <c r="AM114" s="99">
        <f>AJ114*AL114</f>
        <v>480035700</v>
      </c>
      <c r="AN114" s="99" t="s">
        <v>4328</v>
      </c>
    </row>
    <row r="115" spans="17:43">
      <c r="Q115" s="55"/>
      <c r="R115" s="186"/>
      <c r="S115" s="115"/>
      <c r="T115" s="205">
        <f>R113/U112</f>
        <v>242.88478281415652</v>
      </c>
      <c r="AH115" s="99">
        <v>2</v>
      </c>
      <c r="AI115" s="99" t="s">
        <v>4027</v>
      </c>
      <c r="AJ115" s="117">
        <v>1720837</v>
      </c>
      <c r="AK115" s="99">
        <v>51</v>
      </c>
      <c r="AL115" s="99">
        <f t="shared" ref="AL115:AL137" si="19">AK115+AL116</f>
        <v>133</v>
      </c>
      <c r="AM115" s="99">
        <f t="shared" ref="AM115:AM137" si="20">AJ115*AL115</f>
        <v>228871321</v>
      </c>
      <c r="AN115" s="99" t="s">
        <v>4329</v>
      </c>
    </row>
    <row r="116" spans="17:43">
      <c r="Q116" s="55"/>
      <c r="R116" s="186"/>
      <c r="S116" s="115"/>
      <c r="AH116" s="99">
        <v>3</v>
      </c>
      <c r="AI116" s="99" t="s">
        <v>4133</v>
      </c>
      <c r="AJ116" s="117">
        <v>150000</v>
      </c>
      <c r="AK116" s="99">
        <v>3</v>
      </c>
      <c r="AL116" s="99">
        <f t="shared" si="19"/>
        <v>82</v>
      </c>
      <c r="AM116" s="99">
        <f t="shared" si="20"/>
        <v>12300000</v>
      </c>
      <c r="AN116" s="99"/>
    </row>
    <row r="117" spans="17:43">
      <c r="Q117" s="122"/>
      <c r="R117" s="115"/>
      <c r="U117" s="96" t="s">
        <v>267</v>
      </c>
      <c r="V117" t="s">
        <v>4535</v>
      </c>
      <c r="AH117" s="99">
        <v>4</v>
      </c>
      <c r="AI117" s="99" t="s">
        <v>4148</v>
      </c>
      <c r="AJ117" s="117">
        <v>-95000</v>
      </c>
      <c r="AK117" s="99">
        <v>8</v>
      </c>
      <c r="AL117" s="99">
        <f t="shared" si="19"/>
        <v>79</v>
      </c>
      <c r="AM117" s="99">
        <f t="shared" si="20"/>
        <v>-7505000</v>
      </c>
      <c r="AN117" s="99"/>
    </row>
    <row r="118" spans="17:43">
      <c r="U118" s="96">
        <v>13300000</v>
      </c>
      <c r="V118">
        <f>U118/T115</f>
        <v>54758.473733517116</v>
      </c>
      <c r="AH118" s="99">
        <v>5</v>
      </c>
      <c r="AI118" s="99" t="s">
        <v>4175</v>
      </c>
      <c r="AJ118" s="117">
        <v>3150000</v>
      </c>
      <c r="AK118" s="99">
        <v>16</v>
      </c>
      <c r="AL118" s="99">
        <f t="shared" si="19"/>
        <v>71</v>
      </c>
      <c r="AM118" s="99">
        <f t="shared" si="20"/>
        <v>223650000</v>
      </c>
      <c r="AN118" s="99"/>
    </row>
    <row r="119" spans="17:43">
      <c r="Q119" s="99" t="s">
        <v>4494</v>
      </c>
      <c r="R119" s="99"/>
      <c r="AH119" s="99">
        <v>6</v>
      </c>
      <c r="AI119" s="99" t="s">
        <v>4244</v>
      </c>
      <c r="AJ119" s="117">
        <v>-65000</v>
      </c>
      <c r="AK119" s="99">
        <v>1</v>
      </c>
      <c r="AL119" s="99">
        <f t="shared" si="19"/>
        <v>55</v>
      </c>
      <c r="AM119" s="99">
        <f t="shared" si="20"/>
        <v>-3575000</v>
      </c>
      <c r="AN119" s="99"/>
    </row>
    <row r="120" spans="17:43">
      <c r="Q120" s="36" t="s">
        <v>180</v>
      </c>
      <c r="R120" s="99" t="s">
        <v>267</v>
      </c>
      <c r="AH120" s="99">
        <v>7</v>
      </c>
      <c r="AI120" s="99" t="s">
        <v>4330</v>
      </c>
      <c r="AJ120" s="117">
        <v>-95000</v>
      </c>
      <c r="AK120" s="99">
        <v>6</v>
      </c>
      <c r="AL120" s="99">
        <f t="shared" si="19"/>
        <v>54</v>
      </c>
      <c r="AM120" s="99">
        <f t="shared" si="20"/>
        <v>-5130000</v>
      </c>
      <c r="AN120" s="99"/>
      <c r="AO120" t="s">
        <v>25</v>
      </c>
    </row>
    <row r="121" spans="17:43">
      <c r="Q121" s="99" t="s">
        <v>4481</v>
      </c>
      <c r="R121" s="95">
        <v>3000000</v>
      </c>
      <c r="AH121" s="99">
        <v>8</v>
      </c>
      <c r="AI121" s="99" t="s">
        <v>4331</v>
      </c>
      <c r="AJ121" s="117">
        <v>232000</v>
      </c>
      <c r="AK121" s="99">
        <v>7</v>
      </c>
      <c r="AL121" s="99">
        <f t="shared" si="19"/>
        <v>48</v>
      </c>
      <c r="AM121" s="99">
        <f t="shared" si="20"/>
        <v>11136000</v>
      </c>
      <c r="AN121" s="99"/>
      <c r="AP121" t="s">
        <v>25</v>
      </c>
      <c r="AQ121" t="s">
        <v>25</v>
      </c>
    </row>
    <row r="122" spans="17:43">
      <c r="Q122" s="99" t="s">
        <v>4552</v>
      </c>
      <c r="R122" s="95">
        <v>2000000</v>
      </c>
      <c r="AH122" s="99">
        <v>9</v>
      </c>
      <c r="AI122" s="99" t="s">
        <v>4303</v>
      </c>
      <c r="AJ122" s="117">
        <v>13000000</v>
      </c>
      <c r="AK122" s="99">
        <v>2</v>
      </c>
      <c r="AL122" s="99">
        <f t="shared" si="19"/>
        <v>41</v>
      </c>
      <c r="AM122" s="99">
        <f t="shared" si="20"/>
        <v>533000000</v>
      </c>
      <c r="AN122" s="99"/>
    </row>
    <row r="123" spans="17:43" ht="60">
      <c r="Q123" s="99"/>
      <c r="R123" s="95"/>
      <c r="T123" s="22" t="s">
        <v>4516</v>
      </c>
      <c r="AH123" s="99">
        <v>10</v>
      </c>
      <c r="AI123" s="99" t="s">
        <v>4332</v>
      </c>
      <c r="AJ123" s="117">
        <v>10000000</v>
      </c>
      <c r="AK123" s="99">
        <v>3</v>
      </c>
      <c r="AL123" s="99">
        <f t="shared" si="19"/>
        <v>39</v>
      </c>
      <c r="AM123" s="99">
        <f t="shared" si="20"/>
        <v>390000000</v>
      </c>
      <c r="AN123" s="99"/>
    </row>
    <row r="124" spans="17:43" ht="45">
      <c r="Q124" s="99"/>
      <c r="R124" s="95"/>
      <c r="T124" s="22" t="s">
        <v>4517</v>
      </c>
      <c r="AH124" s="99">
        <v>11</v>
      </c>
      <c r="AI124" s="99" t="s">
        <v>4316</v>
      </c>
      <c r="AJ124" s="117">
        <v>3400000</v>
      </c>
      <c r="AK124" s="99">
        <v>9</v>
      </c>
      <c r="AL124" s="99">
        <f t="shared" si="19"/>
        <v>36</v>
      </c>
      <c r="AM124" s="99">
        <f t="shared" si="20"/>
        <v>122400000</v>
      </c>
      <c r="AN124" s="99"/>
    </row>
    <row r="125" spans="17:43">
      <c r="Q125" s="99"/>
      <c r="R125" s="95"/>
      <c r="AH125" s="99">
        <v>12</v>
      </c>
      <c r="AI125" s="99" t="s">
        <v>4364</v>
      </c>
      <c r="AJ125" s="117">
        <v>-8736514</v>
      </c>
      <c r="AK125" s="99">
        <v>1</v>
      </c>
      <c r="AL125" s="99">
        <f>AK125+AL126</f>
        <v>27</v>
      </c>
      <c r="AM125" s="99">
        <f t="shared" si="20"/>
        <v>-235885878</v>
      </c>
      <c r="AN125" s="99"/>
    </row>
    <row r="126" spans="17:43">
      <c r="Q126" s="99"/>
      <c r="R126" s="95"/>
      <c r="AH126" s="99">
        <v>13</v>
      </c>
      <c r="AI126" s="99" t="s">
        <v>4365</v>
      </c>
      <c r="AJ126" s="117">
        <v>555000</v>
      </c>
      <c r="AK126" s="99">
        <v>5</v>
      </c>
      <c r="AL126" s="99">
        <f t="shared" ref="AL126:AL136" si="21">AK126+AL127</f>
        <v>26</v>
      </c>
      <c r="AM126" s="99">
        <f t="shared" si="20"/>
        <v>14430000</v>
      </c>
      <c r="AN126" s="99"/>
    </row>
    <row r="127" spans="17:43">
      <c r="Q127" s="99"/>
      <c r="R127" s="95">
        <f>SUM(R121:R125)</f>
        <v>5000000</v>
      </c>
      <c r="T127" s="99" t="s">
        <v>4536</v>
      </c>
      <c r="U127" s="99" t="s">
        <v>4505</v>
      </c>
      <c r="V127" s="99" t="s">
        <v>953</v>
      </c>
      <c r="AH127" s="99">
        <v>14</v>
      </c>
      <c r="AI127" s="99" t="s">
        <v>4389</v>
      </c>
      <c r="AJ127" s="117">
        <v>-448308</v>
      </c>
      <c r="AK127" s="99">
        <v>6</v>
      </c>
      <c r="AL127" s="99">
        <f t="shared" si="21"/>
        <v>21</v>
      </c>
      <c r="AM127" s="99">
        <f t="shared" si="20"/>
        <v>-9414468</v>
      </c>
      <c r="AN127" s="99"/>
    </row>
    <row r="128" spans="17:43">
      <c r="Q128" s="99"/>
      <c r="R128" s="99" t="s">
        <v>6</v>
      </c>
      <c r="T128" s="95">
        <f>R127+R135+R144+R153</f>
        <v>255970393</v>
      </c>
      <c r="U128" s="95">
        <f>R113</f>
        <v>259558094.49999994</v>
      </c>
      <c r="V128" s="95">
        <f>U128-T128</f>
        <v>3587701.4999999404</v>
      </c>
      <c r="AH128" s="99">
        <v>15</v>
      </c>
      <c r="AI128" s="99" t="s">
        <v>4423</v>
      </c>
      <c r="AJ128" s="117">
        <v>33225</v>
      </c>
      <c r="AK128" s="99">
        <v>0</v>
      </c>
      <c r="AL128" s="99">
        <f t="shared" si="21"/>
        <v>15</v>
      </c>
      <c r="AM128" s="99">
        <f t="shared" si="20"/>
        <v>498375</v>
      </c>
      <c r="AN128" s="99"/>
    </row>
    <row r="129" spans="17:40">
      <c r="AH129" s="149">
        <v>16</v>
      </c>
      <c r="AI129" s="149" t="s">
        <v>4423</v>
      </c>
      <c r="AJ129" s="193">
        <v>4098523</v>
      </c>
      <c r="AK129" s="149">
        <v>2</v>
      </c>
      <c r="AL129" s="149">
        <f t="shared" si="21"/>
        <v>15</v>
      </c>
      <c r="AM129" s="149">
        <f t="shared" si="20"/>
        <v>61477845</v>
      </c>
      <c r="AN129" s="149" t="s">
        <v>657</v>
      </c>
    </row>
    <row r="130" spans="17:40">
      <c r="Q130" s="99" t="s">
        <v>1087</v>
      </c>
      <c r="R130" s="99"/>
      <c r="AH130" s="149">
        <v>17</v>
      </c>
      <c r="AI130" s="149" t="s">
        <v>4439</v>
      </c>
      <c r="AJ130" s="193">
        <v>-1000000</v>
      </c>
      <c r="AK130" s="149">
        <v>7</v>
      </c>
      <c r="AL130" s="149">
        <f t="shared" si="21"/>
        <v>13</v>
      </c>
      <c r="AM130" s="149">
        <f t="shared" si="20"/>
        <v>-13000000</v>
      </c>
      <c r="AN130" s="149" t="s">
        <v>657</v>
      </c>
    </row>
    <row r="131" spans="17:40">
      <c r="Q131" s="99" t="s">
        <v>4481</v>
      </c>
      <c r="R131" s="95">
        <v>828000</v>
      </c>
      <c r="AH131" s="149">
        <v>18</v>
      </c>
      <c r="AI131" s="149" t="s">
        <v>4472</v>
      </c>
      <c r="AJ131" s="193">
        <v>750000</v>
      </c>
      <c r="AK131" s="149">
        <v>1</v>
      </c>
      <c r="AL131" s="149">
        <f t="shared" si="21"/>
        <v>6</v>
      </c>
      <c r="AM131" s="149">
        <f t="shared" si="20"/>
        <v>4500000</v>
      </c>
      <c r="AN131" s="149" t="s">
        <v>657</v>
      </c>
    </row>
    <row r="132" spans="17:40">
      <c r="Q132" s="99" t="s">
        <v>4531</v>
      </c>
      <c r="R132" s="95">
        <v>1400000</v>
      </c>
      <c r="AH132" s="201">
        <v>19</v>
      </c>
      <c r="AI132" s="201" t="s">
        <v>4479</v>
      </c>
      <c r="AJ132" s="202">
        <v>-604152</v>
      </c>
      <c r="AK132" s="201">
        <v>0</v>
      </c>
      <c r="AL132" s="201">
        <f t="shared" si="21"/>
        <v>5</v>
      </c>
      <c r="AM132" s="201">
        <f t="shared" si="20"/>
        <v>-3020760</v>
      </c>
      <c r="AN132" s="201" t="s">
        <v>657</v>
      </c>
    </row>
    <row r="133" spans="17:40">
      <c r="Q133" s="99"/>
      <c r="R133" s="95"/>
      <c r="AH133" s="99">
        <v>20</v>
      </c>
      <c r="AI133" s="99" t="s">
        <v>4480</v>
      </c>
      <c r="AJ133" s="117">
        <v>-587083</v>
      </c>
      <c r="AK133" s="99">
        <v>4</v>
      </c>
      <c r="AL133" s="99">
        <f t="shared" si="21"/>
        <v>5</v>
      </c>
      <c r="AM133" s="99">
        <f t="shared" si="20"/>
        <v>-2935415</v>
      </c>
      <c r="AN133" s="99"/>
    </row>
    <row r="134" spans="17:40">
      <c r="Q134" s="99"/>
      <c r="R134" s="95"/>
      <c r="AH134" s="201">
        <v>21</v>
      </c>
      <c r="AI134" s="201" t="s">
        <v>4481</v>
      </c>
      <c r="AJ134" s="202">
        <v>-754351</v>
      </c>
      <c r="AK134" s="201">
        <v>0</v>
      </c>
      <c r="AL134" s="201">
        <f t="shared" si="21"/>
        <v>1</v>
      </c>
      <c r="AM134" s="201">
        <f t="shared" si="20"/>
        <v>-754351</v>
      </c>
      <c r="AN134" s="201" t="s">
        <v>657</v>
      </c>
    </row>
    <row r="135" spans="17:40">
      <c r="Q135" s="99"/>
      <c r="R135" s="95">
        <f>SUM(R131:R133)</f>
        <v>2228000</v>
      </c>
      <c r="AH135" s="99">
        <v>22</v>
      </c>
      <c r="AI135" s="99" t="s">
        <v>4481</v>
      </c>
      <c r="AJ135" s="117">
        <v>-189619</v>
      </c>
      <c r="AK135" s="99">
        <v>1</v>
      </c>
      <c r="AL135" s="99">
        <f t="shared" si="21"/>
        <v>1</v>
      </c>
      <c r="AM135" s="99">
        <f t="shared" si="20"/>
        <v>-189619</v>
      </c>
      <c r="AN135" s="99"/>
    </row>
    <row r="136" spans="17:40">
      <c r="Q136" s="99"/>
      <c r="R136" s="99" t="s">
        <v>6</v>
      </c>
      <c r="AH136" s="99"/>
      <c r="AI136" s="99"/>
      <c r="AJ136" s="99"/>
      <c r="AK136" s="99"/>
      <c r="AL136" s="99">
        <f t="shared" si="21"/>
        <v>0</v>
      </c>
      <c r="AM136" s="99">
        <f t="shared" si="20"/>
        <v>0</v>
      </c>
      <c r="AN136" s="99"/>
    </row>
    <row r="137" spans="17:40">
      <c r="AH137" s="99"/>
      <c r="AI137" s="99"/>
      <c r="AJ137" s="99"/>
      <c r="AK137" s="99"/>
      <c r="AL137" s="99">
        <f t="shared" si="19"/>
        <v>0</v>
      </c>
      <c r="AM137" s="99">
        <f t="shared" si="20"/>
        <v>0</v>
      </c>
      <c r="AN137" s="99"/>
    </row>
    <row r="138" spans="17:40">
      <c r="Q138" s="99" t="s">
        <v>751</v>
      </c>
      <c r="R138" s="99"/>
      <c r="AH138" s="99"/>
      <c r="AI138" s="99"/>
      <c r="AJ138" s="99"/>
      <c r="AK138" s="99"/>
      <c r="AL138" s="99"/>
      <c r="AM138" s="99"/>
      <c r="AN138" s="99"/>
    </row>
    <row r="139" spans="17:40">
      <c r="Q139" s="99" t="s">
        <v>4481</v>
      </c>
      <c r="R139" s="95">
        <v>172080000</v>
      </c>
      <c r="AH139" s="99"/>
      <c r="AI139" s="99"/>
      <c r="AJ139" s="95">
        <f>SUM(AJ114:AJ138)</f>
        <v>28070378</v>
      </c>
      <c r="AK139" s="99"/>
      <c r="AL139" s="99"/>
      <c r="AM139" s="99">
        <f>SUM(AM114:AM138)</f>
        <v>1800888750</v>
      </c>
      <c r="AN139" s="95">
        <f>AM139*AN100/31</f>
        <v>1161863.7096774194</v>
      </c>
    </row>
    <row r="140" spans="17:40">
      <c r="Q140" s="99" t="s">
        <v>4235</v>
      </c>
      <c r="R140" s="95">
        <v>247393</v>
      </c>
      <c r="AJ140" t="s">
        <v>4062</v>
      </c>
      <c r="AM140" t="s">
        <v>284</v>
      </c>
      <c r="AN140" t="s">
        <v>943</v>
      </c>
    </row>
    <row r="141" spans="17:40">
      <c r="Q141" s="99"/>
      <c r="R141" s="95"/>
    </row>
    <row r="142" spans="17:40">
      <c r="Q142" s="99"/>
      <c r="R142" s="95"/>
      <c r="AI142" t="s">
        <v>4064</v>
      </c>
      <c r="AJ142" s="114">
        <f>AJ139+AN139</f>
        <v>29232241.709677421</v>
      </c>
    </row>
    <row r="143" spans="17:40">
      <c r="Q143" s="99"/>
      <c r="R143" s="95"/>
      <c r="AI143" t="s">
        <v>4067</v>
      </c>
      <c r="AJ143" s="114">
        <f>SUM(N20:N30)</f>
        <v>27692370.300000001</v>
      </c>
    </row>
    <row r="144" spans="17:40">
      <c r="Q144" s="99"/>
      <c r="R144" s="95">
        <f>SUM(R139:R142)</f>
        <v>172327393</v>
      </c>
      <c r="T144" t="s">
        <v>25</v>
      </c>
      <c r="AI144" t="s">
        <v>4139</v>
      </c>
      <c r="AJ144" s="114">
        <f>AJ143-AJ139</f>
        <v>-378007.69999999925</v>
      </c>
    </row>
    <row r="145" spans="17:36">
      <c r="Q145" s="99"/>
      <c r="R145" s="99" t="s">
        <v>6</v>
      </c>
      <c r="AI145" t="s">
        <v>943</v>
      </c>
      <c r="AJ145" s="114">
        <f>AN139</f>
        <v>1161863.7096774194</v>
      </c>
    </row>
    <row r="146" spans="17:36">
      <c r="AI146" t="s">
        <v>4068</v>
      </c>
      <c r="AJ146" s="114">
        <f>AJ144-AJ145</f>
        <v>-1539871.4096774186</v>
      </c>
    </row>
    <row r="148" spans="17:36">
      <c r="Q148" s="99" t="s">
        <v>452</v>
      </c>
      <c r="R148" s="99"/>
    </row>
    <row r="149" spans="17:36">
      <c r="Q149" s="99" t="s">
        <v>4481</v>
      </c>
      <c r="R149" s="95">
        <v>63115000</v>
      </c>
    </row>
    <row r="150" spans="17:36">
      <c r="Q150" s="99" t="s">
        <v>4552</v>
      </c>
      <c r="R150" s="95">
        <v>13300000</v>
      </c>
    </row>
    <row r="151" spans="17:36">
      <c r="Q151" s="99"/>
      <c r="R151" s="95"/>
    </row>
    <row r="152" spans="17:36">
      <c r="Q152" s="99"/>
      <c r="R152" s="95"/>
    </row>
    <row r="153" spans="17:36">
      <c r="Q153" s="99"/>
      <c r="R153" s="95">
        <f>SUM(R149:R151)</f>
        <v>76415000</v>
      </c>
    </row>
    <row r="154" spans="17:36">
      <c r="Q154" s="99"/>
      <c r="R154" s="99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96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8:P29 S29 P22 S67 U90 S7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I3" sqref="I3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13.28515625" bestFit="1" customWidth="1"/>
    <col min="22" max="22" width="11.140625" bestFit="1" customWidth="1"/>
    <col min="23" max="23" width="12.42578125" bestFit="1" customWidth="1"/>
  </cols>
  <sheetData>
    <row r="1" spans="1:25">
      <c r="A1" s="99" t="s">
        <v>3643</v>
      </c>
      <c r="B1" s="99" t="s">
        <v>180</v>
      </c>
      <c r="C1" s="99" t="s">
        <v>4284</v>
      </c>
      <c r="D1" s="99" t="s">
        <v>4285</v>
      </c>
      <c r="E1" s="99" t="s">
        <v>4286</v>
      </c>
      <c r="F1" s="99" t="s">
        <v>4287</v>
      </c>
      <c r="G1" s="74" t="s">
        <v>4288</v>
      </c>
      <c r="H1" s="74" t="s">
        <v>4465</v>
      </c>
      <c r="I1" s="74" t="s">
        <v>4311</v>
      </c>
      <c r="N1" s="99" t="s">
        <v>949</v>
      </c>
      <c r="O1" s="99">
        <v>6.3E-3</v>
      </c>
    </row>
    <row r="2" spans="1:25">
      <c r="A2" s="99">
        <v>1</v>
      </c>
      <c r="B2" s="99" t="s">
        <v>4175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5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5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5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5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</row>
    <row r="21" spans="1:25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</row>
    <row r="22" spans="1:25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5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5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5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5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5">
      <c r="A27" s="99">
        <v>26</v>
      </c>
      <c r="B27" s="99"/>
      <c r="C27" s="99"/>
      <c r="D27" s="99"/>
      <c r="E27" s="99"/>
      <c r="F27" s="99" t="s">
        <v>4289</v>
      </c>
      <c r="G27" s="99" t="s">
        <v>4290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5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5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5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5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5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1165</v>
      </c>
      <c r="B16" s="113">
        <v>-694356</v>
      </c>
      <c r="C16" s="99" t="s">
        <v>1166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1177</v>
      </c>
      <c r="B17" s="113">
        <v>50000</v>
      </c>
      <c r="C17" s="99" t="s">
        <v>1191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3674</v>
      </c>
      <c r="B18" s="113">
        <v>1047</v>
      </c>
      <c r="C18" s="99" t="s">
        <v>3677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3710</v>
      </c>
      <c r="B19" s="113">
        <v>785500</v>
      </c>
      <c r="C19" s="99" t="s">
        <v>3714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3806</v>
      </c>
      <c r="B20" s="113">
        <v>-57500</v>
      </c>
      <c r="C20" s="99" t="s">
        <v>1019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3806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3918</v>
      </c>
      <c r="B22" s="113">
        <v>-85000</v>
      </c>
      <c r="C22" s="99" t="s">
        <v>3929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3897</v>
      </c>
      <c r="B23" s="113">
        <v>-180000</v>
      </c>
      <c r="C23" s="99" t="s">
        <v>3929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3897</v>
      </c>
      <c r="B24" s="113">
        <v>-69000</v>
      </c>
      <c r="C24" s="99" t="s">
        <v>3929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3914</v>
      </c>
      <c r="B25" s="113">
        <v>-8600</v>
      </c>
      <c r="C25" s="99" t="s">
        <v>3929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3914</v>
      </c>
      <c r="B26" s="113">
        <v>-40000</v>
      </c>
      <c r="C26" s="99" t="s">
        <v>3929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3914</v>
      </c>
      <c r="B27" s="113">
        <v>-92500</v>
      </c>
      <c r="C27" s="99" t="s">
        <v>3929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3914</v>
      </c>
      <c r="B28" s="113">
        <v>-47000</v>
      </c>
      <c r="C28" s="99" t="s">
        <v>3929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3919</v>
      </c>
      <c r="B29" s="113">
        <v>-77500</v>
      </c>
      <c r="C29" s="99" t="s">
        <v>3929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3919</v>
      </c>
      <c r="B30" s="113">
        <v>-57000</v>
      </c>
      <c r="C30" s="99" t="s">
        <v>3929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3919</v>
      </c>
      <c r="B31" s="113">
        <v>-45000</v>
      </c>
      <c r="C31" s="99" t="s">
        <v>3929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3919</v>
      </c>
      <c r="B32" s="113">
        <v>-30000</v>
      </c>
      <c r="C32" s="99" t="s">
        <v>3929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3928</v>
      </c>
      <c r="B33" s="113">
        <v>1000000</v>
      </c>
      <c r="C33" s="99" t="s">
        <v>3893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3933</v>
      </c>
      <c r="B34" s="113">
        <v>-79700</v>
      </c>
      <c r="C34" s="99" t="s">
        <v>3929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4027</v>
      </c>
      <c r="B35" s="113">
        <v>-1187</v>
      </c>
      <c r="C35" s="99" t="s">
        <v>3929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3970</v>
      </c>
      <c r="B36" s="113">
        <v>-55262</v>
      </c>
      <c r="C36" s="99" t="s">
        <v>3929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3972</v>
      </c>
      <c r="B37" s="113">
        <v>-15700</v>
      </c>
      <c r="C37" s="99" t="s">
        <v>3929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4028</v>
      </c>
      <c r="B38" s="113">
        <v>-176000</v>
      </c>
      <c r="C38" s="99" t="s">
        <v>3929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3994</v>
      </c>
      <c r="B39" s="113">
        <v>-68600</v>
      </c>
      <c r="C39" s="99" t="s">
        <v>3929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4026</v>
      </c>
      <c r="B40" s="113">
        <v>-3540</v>
      </c>
      <c r="C40" s="99" t="s">
        <v>3929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4024</v>
      </c>
      <c r="B41" s="113">
        <v>-315101</v>
      </c>
      <c r="C41" s="99" t="s">
        <v>4025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3689</v>
      </c>
      <c r="B42" s="113">
        <v>-416000</v>
      </c>
      <c r="C42" s="99" t="s">
        <v>4034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AgentBased</vt:lpstr>
      <vt:lpstr>آذر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2018-12-09T12:00:16Z</dcterms:modified>
</cp:coreProperties>
</file>