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V79" i="18" l="1"/>
  <c r="W79" i="18" s="1"/>
  <c r="S79" i="18"/>
  <c r="N49" i="18"/>
  <c r="X79" i="18" l="1"/>
  <c r="P27" i="18"/>
  <c r="N27" i="18" s="1"/>
  <c r="P23" i="18"/>
  <c r="N23" i="18" s="1"/>
  <c r="AL169" i="18"/>
  <c r="AL168" i="18" s="1"/>
  <c r="AL167" i="18" s="1"/>
  <c r="AL166" i="18" s="1"/>
  <c r="AL165" i="18" s="1"/>
  <c r="B299" i="20"/>
  <c r="D288" i="20"/>
  <c r="AM167" i="18" l="1"/>
  <c r="AM169" i="18"/>
  <c r="AM168" i="18"/>
  <c r="AM166" i="18"/>
  <c r="K20" i="52"/>
  <c r="D287" i="20" l="1"/>
  <c r="D286" i="20"/>
  <c r="F15" i="52"/>
  <c r="AB3" i="49" l="1"/>
  <c r="AB4" i="49"/>
  <c r="AB5" i="49"/>
  <c r="D285" i="20" l="1"/>
  <c r="W115" i="18"/>
  <c r="J289" i="20" l="1"/>
  <c r="K289" i="20"/>
  <c r="J290" i="20"/>
  <c r="K290" i="20"/>
  <c r="J291" i="20"/>
  <c r="K291" i="20"/>
  <c r="J292" i="20"/>
  <c r="K292" i="20"/>
  <c r="J293" i="20"/>
  <c r="K293" i="20"/>
  <c r="J294" i="20"/>
  <c r="K294" i="20"/>
  <c r="J295" i="20"/>
  <c r="K295" i="20"/>
  <c r="J296" i="20"/>
  <c r="K296" i="20"/>
  <c r="J297" i="20"/>
  <c r="K297" i="20"/>
  <c r="I289" i="20"/>
  <c r="I290" i="20"/>
  <c r="I291" i="20"/>
  <c r="I292" i="20"/>
  <c r="I293" i="20"/>
  <c r="I294" i="20"/>
  <c r="I295" i="20"/>
  <c r="I296" i="20"/>
  <c r="I297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G297" i="20"/>
  <c r="G296" i="20" s="1"/>
  <c r="G295" i="20" s="1"/>
  <c r="G294" i="20" s="1"/>
  <c r="G293" i="20" s="1"/>
  <c r="G292" i="20" s="1"/>
  <c r="G291" i="20" s="1"/>
  <c r="G290" i="20" s="1"/>
  <c r="G289" i="20" s="1"/>
  <c r="G288" i="20" s="1"/>
  <c r="G287" i="20" s="1"/>
  <c r="G286" i="20" s="1"/>
  <c r="G285" i="20" s="1"/>
  <c r="G284" i="20" s="1"/>
  <c r="G283" i="20" s="1"/>
  <c r="I283" i="20" s="1"/>
  <c r="D284" i="20"/>
  <c r="J288" i="20" l="1"/>
  <c r="K288" i="20"/>
  <c r="I288" i="20"/>
  <c r="J287" i="20"/>
  <c r="I287" i="20"/>
  <c r="K287" i="20"/>
  <c r="J286" i="20"/>
  <c r="K286" i="20"/>
  <c r="I286" i="20"/>
  <c r="K285" i="20"/>
  <c r="I285" i="20"/>
  <c r="J285" i="20"/>
  <c r="K284" i="20"/>
  <c r="J284" i="20"/>
  <c r="K283" i="20"/>
  <c r="I284" i="20"/>
  <c r="J283" i="20"/>
  <c r="M75" i="18"/>
  <c r="D283" i="20" l="1"/>
  <c r="F276" i="15" l="1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D278" i="15"/>
  <c r="D277" i="15" s="1"/>
  <c r="D276" i="15" s="1"/>
  <c r="D275" i="15" s="1"/>
  <c r="D274" i="15" s="1"/>
  <c r="D273" i="15" s="1"/>
  <c r="D272" i="15" s="1"/>
  <c r="D271" i="15" s="1"/>
  <c r="D270" i="15" s="1"/>
  <c r="D269" i="15" s="1"/>
  <c r="D268" i="15" s="1"/>
  <c r="D267" i="15" s="1"/>
  <c r="D266" i="15" s="1"/>
  <c r="D265" i="15" s="1"/>
  <c r="D264" i="15" s="1"/>
  <c r="D263" i="15" s="1"/>
  <c r="D262" i="15" s="1"/>
  <c r="D261" i="15" s="1"/>
  <c r="F261" i="15" s="1"/>
  <c r="D282" i="20"/>
  <c r="N47" i="18"/>
  <c r="F268" i="15" l="1"/>
  <c r="F264" i="15"/>
  <c r="F275" i="15"/>
  <c r="F271" i="15"/>
  <c r="F267" i="15"/>
  <c r="F263" i="15"/>
  <c r="F272" i="15"/>
  <c r="F278" i="15"/>
  <c r="F274" i="15"/>
  <c r="F270" i="15"/>
  <c r="F266" i="15"/>
  <c r="F262" i="15"/>
  <c r="F277" i="15"/>
  <c r="F273" i="15"/>
  <c r="F269" i="15"/>
  <c r="F265" i="15"/>
  <c r="R86" i="18"/>
  <c r="M12" i="52" l="1"/>
  <c r="D281" i="20" l="1"/>
  <c r="D280" i="20" l="1"/>
  <c r="K21" i="52" l="1"/>
  <c r="B38" i="52"/>
  <c r="D279" i="20"/>
  <c r="U117" i="18" l="1"/>
  <c r="W114" i="18"/>
  <c r="D278" i="20"/>
  <c r="W93" i="18" l="1"/>
  <c r="W92" i="18"/>
  <c r="W91" i="18"/>
  <c r="G196" i="13"/>
  <c r="B196" i="13"/>
  <c r="B280" i="15"/>
  <c r="E260" i="15"/>
  <c r="D260" i="15"/>
  <c r="E253" i="15"/>
  <c r="E254" i="15"/>
  <c r="E255" i="15"/>
  <c r="E256" i="15"/>
  <c r="E257" i="15"/>
  <c r="E258" i="15"/>
  <c r="E259" i="15"/>
  <c r="D277" i="20"/>
  <c r="AJ124" i="18"/>
  <c r="F260" i="15" l="1"/>
  <c r="S86" i="18"/>
  <c r="AR14" i="18"/>
  <c r="AJ171" i="18"/>
  <c r="S85" i="18" l="1"/>
  <c r="D276" i="20"/>
  <c r="H273" i="20"/>
  <c r="H274" i="20"/>
  <c r="H275" i="20"/>
  <c r="H276" i="20"/>
  <c r="H277" i="20"/>
  <c r="H278" i="20"/>
  <c r="H279" i="20"/>
  <c r="H280" i="20"/>
  <c r="H281" i="20"/>
  <c r="D275" i="20"/>
  <c r="D274" i="20"/>
  <c r="D273" i="20"/>
  <c r="N46" i="18"/>
  <c r="D272" i="20" l="1"/>
  <c r="D271" i="20" l="1"/>
  <c r="AL123" i="18"/>
  <c r="AL122" i="18" s="1"/>
  <c r="AL121" i="18" l="1"/>
  <c r="AM122" i="18"/>
  <c r="AM123" i="18"/>
  <c r="D270" i="20"/>
  <c r="N48" i="18"/>
  <c r="AL120" i="18" l="1"/>
  <c r="AM121" i="18"/>
  <c r="H270" i="20"/>
  <c r="H271" i="20"/>
  <c r="H272" i="20"/>
  <c r="D269" i="20"/>
  <c r="H269" i="20"/>
  <c r="AL119" i="18" l="1"/>
  <c r="AM120" i="18"/>
  <c r="S55" i="18"/>
  <c r="AL118" i="18" l="1"/>
  <c r="AM119" i="18"/>
  <c r="D57" i="54"/>
  <c r="AL117" i="18" l="1"/>
  <c r="AM118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I20" i="54" s="1"/>
  <c r="D21" i="54"/>
  <c r="D22" i="54"/>
  <c r="I22" i="54" s="1"/>
  <c r="D23" i="54"/>
  <c r="D24" i="54"/>
  <c r="I24" i="54" s="1"/>
  <c r="D25" i="54"/>
  <c r="I25" i="54" s="1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H24" i="54"/>
  <c r="G24" i="54"/>
  <c r="H23" i="54"/>
  <c r="G23" i="54"/>
  <c r="I23" i="54"/>
  <c r="H22" i="54"/>
  <c r="G22" i="54"/>
  <c r="H21" i="54"/>
  <c r="G21" i="54"/>
  <c r="I21" i="54"/>
  <c r="H20" i="54"/>
  <c r="G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16" i="18" l="1"/>
  <c r="AM117" i="18"/>
  <c r="H33" i="54"/>
  <c r="G2" i="54"/>
  <c r="G33" i="54" s="1"/>
  <c r="D2" i="54"/>
  <c r="R18" i="52"/>
  <c r="K28" i="52"/>
  <c r="K19" i="52"/>
  <c r="K18" i="52"/>
  <c r="AL115" i="18" l="1"/>
  <c r="AM116" i="18"/>
  <c r="H38" i="54"/>
  <c r="I2" i="54"/>
  <c r="I33" i="54" s="1"/>
  <c r="I38" i="54" s="1"/>
  <c r="D32" i="54"/>
  <c r="N102" i="18"/>
  <c r="N103" i="18"/>
  <c r="N104" i="18"/>
  <c r="N105" i="18"/>
  <c r="N106" i="18"/>
  <c r="N107" i="18"/>
  <c r="N108" i="18"/>
  <c r="N109" i="18"/>
  <c r="N101" i="18"/>
  <c r="AL114" i="18" l="1"/>
  <c r="AM115" i="18"/>
  <c r="C299" i="20"/>
  <c r="M13" i="52"/>
  <c r="M6" i="52"/>
  <c r="L12" i="52" s="1"/>
  <c r="N4" i="52"/>
  <c r="N3" i="52"/>
  <c r="N2" i="52"/>
  <c r="AL113" i="18" l="1"/>
  <c r="AM114" i="18"/>
  <c r="N6" i="52"/>
  <c r="M8" i="52" s="1"/>
  <c r="AM113" i="18" l="1"/>
  <c r="AL112" i="18"/>
  <c r="D266" i="20"/>
  <c r="H266" i="20"/>
  <c r="G30" i="51"/>
  <c r="H30" i="51"/>
  <c r="D30" i="51"/>
  <c r="I30" i="51" s="1"/>
  <c r="AM112" i="18" l="1"/>
  <c r="AL111" i="18"/>
  <c r="D265" i="20"/>
  <c r="H265" i="20"/>
  <c r="G29" i="51"/>
  <c r="H29" i="51"/>
  <c r="D29" i="51"/>
  <c r="I29" i="51" s="1"/>
  <c r="AL110" i="18" l="1"/>
  <c r="AM111" i="18"/>
  <c r="W113" i="18"/>
  <c r="N35" i="18"/>
  <c r="G28" i="51"/>
  <c r="H28" i="51"/>
  <c r="D28" i="51"/>
  <c r="I28" i="51" s="1"/>
  <c r="D264" i="20"/>
  <c r="H264" i="20"/>
  <c r="AL109" i="18" l="1"/>
  <c r="AM110" i="18"/>
  <c r="G27" i="51"/>
  <c r="H27" i="51"/>
  <c r="D27" i="51"/>
  <c r="I27" i="51" s="1"/>
  <c r="G26" i="51"/>
  <c r="H26" i="51"/>
  <c r="D26" i="51"/>
  <c r="I26" i="51" s="1"/>
  <c r="AL108" i="18" l="1"/>
  <c r="AM109" i="18"/>
  <c r="W112" i="18"/>
  <c r="AL107" i="18" l="1"/>
  <c r="AM108" i="18"/>
  <c r="AM107" i="18" l="1"/>
  <c r="AL106" i="18"/>
  <c r="L33" i="18"/>
  <c r="AL105" i="18" l="1"/>
  <c r="AM106" i="18"/>
  <c r="W106" i="18"/>
  <c r="W107" i="18"/>
  <c r="W108" i="18"/>
  <c r="W109" i="18"/>
  <c r="W110" i="18"/>
  <c r="W111" i="18"/>
  <c r="W116" i="18"/>
  <c r="W105" i="18"/>
  <c r="AM105" i="18" l="1"/>
  <c r="AL104" i="18"/>
  <c r="N50" i="18"/>
  <c r="AL103" i="18" l="1"/>
  <c r="AM104" i="18"/>
  <c r="R141" i="18"/>
  <c r="R150" i="18"/>
  <c r="R128" i="18"/>
  <c r="AL102" i="18" l="1"/>
  <c r="AM103" i="18"/>
  <c r="T133" i="18"/>
  <c r="T89" i="18"/>
  <c r="S39" i="18"/>
  <c r="S40" i="18" s="1"/>
  <c r="S41" i="18" s="1"/>
  <c r="R110" i="18"/>
  <c r="R109" i="18"/>
  <c r="R108" i="18"/>
  <c r="D57" i="51"/>
  <c r="AL101" i="18" l="1"/>
  <c r="AM102" i="18"/>
  <c r="S42" i="18"/>
  <c r="S43" i="18" s="1"/>
  <c r="S44" i="18" s="1"/>
  <c r="AL100" i="18" l="1"/>
  <c r="AM100" i="18" s="1"/>
  <c r="AM101" i="18"/>
  <c r="P28" i="18"/>
  <c r="N28" i="18" s="1"/>
  <c r="R107" i="18" s="1"/>
  <c r="Q46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5" i="18" l="1"/>
  <c r="D108" i="50" l="1"/>
  <c r="P24" i="18" l="1"/>
  <c r="N44" i="18"/>
  <c r="C8" i="36" l="1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96" i="18" l="1"/>
  <c r="AL95" i="18" s="1"/>
  <c r="S22" i="18"/>
  <c r="S23" i="18" s="1"/>
  <c r="S24" i="18" s="1"/>
  <c r="S25" i="18" s="1"/>
  <c r="P22" i="18"/>
  <c r="N22" i="18" s="1"/>
  <c r="N43" i="18"/>
  <c r="AM96" i="18" l="1"/>
  <c r="AL164" i="18"/>
  <c r="AM165" i="18"/>
  <c r="AL94" i="18"/>
  <c r="AM95" i="18"/>
  <c r="AL163" i="18" l="1"/>
  <c r="AM164" i="18"/>
  <c r="AL93" i="18"/>
  <c r="AM94" i="18"/>
  <c r="AL162" i="18" l="1"/>
  <c r="AM163" i="18"/>
  <c r="AL92" i="18"/>
  <c r="AM93" i="18"/>
  <c r="S26" i="18"/>
  <c r="S27" i="18" s="1"/>
  <c r="S28" i="18" s="1"/>
  <c r="S29" i="18" s="1"/>
  <c r="N75" i="18"/>
  <c r="AL161" i="18" l="1"/>
  <c r="AM162" i="18"/>
  <c r="S30" i="18"/>
  <c r="S31" i="18" s="1"/>
  <c r="S32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61" i="18" l="1"/>
  <c r="AL160" i="18"/>
  <c r="AL90" i="18"/>
  <c r="AM91" i="18"/>
  <c r="D73" i="48"/>
  <c r="N24" i="18"/>
  <c r="AL159" i="18" l="1"/>
  <c r="AM160" i="18"/>
  <c r="AM90" i="18"/>
  <c r="AL89" i="18"/>
  <c r="AL158" i="18" l="1"/>
  <c r="AM159" i="18"/>
  <c r="AL88" i="18"/>
  <c r="AM89" i="18"/>
  <c r="P55" i="18"/>
  <c r="AL157" i="18" l="1"/>
  <c r="AM158" i="18"/>
  <c r="AL87" i="18"/>
  <c r="AM88" i="18"/>
  <c r="AL156" i="18" l="1"/>
  <c r="AM157" i="18"/>
  <c r="AM87" i="18"/>
  <c r="AL86" i="18"/>
  <c r="N23" i="33"/>
  <c r="D23" i="33" s="1"/>
  <c r="AL155" i="18" l="1"/>
  <c r="AM156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54" i="18" l="1"/>
  <c r="AM155" i="18"/>
  <c r="AL84" i="18"/>
  <c r="AM85" i="18"/>
  <c r="P21" i="18"/>
  <c r="N21" i="18" s="1"/>
  <c r="R106" i="18" s="1"/>
  <c r="AJ175" i="18" l="1"/>
  <c r="AJ176" i="18" s="1"/>
  <c r="AL153" i="18"/>
  <c r="AM154" i="18"/>
  <c r="Q34" i="18"/>
  <c r="AM84" i="18"/>
  <c r="AL83" i="18"/>
  <c r="AL152" i="18" l="1"/>
  <c r="AM153" i="18"/>
  <c r="AM83" i="18"/>
  <c r="AL82" i="18"/>
  <c r="S56" i="18"/>
  <c r="S57" i="18" s="1"/>
  <c r="AM152" i="18" l="1"/>
  <c r="AL151" i="18"/>
  <c r="AL81" i="18"/>
  <c r="AM82" i="18"/>
  <c r="AL150" i="18" l="1"/>
  <c r="AM151" i="18"/>
  <c r="AL80" i="18"/>
  <c r="AM80" i="18" s="1"/>
  <c r="AM81" i="18"/>
  <c r="AM150" i="18" l="1"/>
  <c r="AL149" i="18"/>
  <c r="AM149" i="18" l="1"/>
  <c r="AL148" i="18"/>
  <c r="B8" i="36"/>
  <c r="AL147" i="18" l="1"/>
  <c r="AM148" i="18"/>
  <c r="B10" i="36"/>
  <c r="AL146" i="18" l="1"/>
  <c r="AM147" i="18"/>
  <c r="S58" i="18"/>
  <c r="S59" i="18" l="1"/>
  <c r="S60" i="18" s="1"/>
  <c r="S61" i="18" s="1"/>
  <c r="S62" i="18" s="1"/>
  <c r="S63" i="18" s="1"/>
  <c r="S64" i="18" s="1"/>
  <c r="AL145" i="18"/>
  <c r="AM146" i="18"/>
  <c r="N25" i="33"/>
  <c r="N24" i="33"/>
  <c r="N21" i="33"/>
  <c r="N20" i="33"/>
  <c r="N19" i="33"/>
  <c r="N18" i="33"/>
  <c r="L18" i="33" s="1"/>
  <c r="N17" i="33"/>
  <c r="N9" i="33"/>
  <c r="N3" i="33"/>
  <c r="N4" i="33"/>
  <c r="AM145" i="18" l="1"/>
  <c r="AL144" i="18"/>
  <c r="S65" i="18"/>
  <c r="S66" i="18" s="1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44" i="18" l="1"/>
  <c r="AL143" i="18"/>
  <c r="AC15" i="33"/>
  <c r="AM143" i="18" l="1"/>
  <c r="AL142" i="18"/>
  <c r="N16" i="33"/>
  <c r="S67" i="18" l="1"/>
  <c r="S68" i="18" s="1"/>
  <c r="AM142" i="18"/>
  <c r="AL141" i="18"/>
  <c r="AM141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71" i="18" l="1"/>
  <c r="AN171" i="18" s="1"/>
  <c r="AJ174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9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98" i="20"/>
  <c r="S69" i="18" l="1"/>
  <c r="S70" i="18" s="1"/>
  <c r="S71" i="18" s="1"/>
  <c r="AJ177" i="18"/>
  <c r="AJ178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98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98" i="20" l="1"/>
  <c r="J298" i="20"/>
  <c r="K298" i="20"/>
  <c r="G282" i="20" l="1"/>
  <c r="AL79" i="18"/>
  <c r="G25" i="46"/>
  <c r="H25" i="46"/>
  <c r="D25" i="46"/>
  <c r="I25" i="46" s="1"/>
  <c r="J282" i="20" l="1"/>
  <c r="I282" i="20"/>
  <c r="K282" i="20"/>
  <c r="G281" i="20"/>
  <c r="AL78" i="18"/>
  <c r="AM79" i="18"/>
  <c r="D88" i="46"/>
  <c r="G24" i="46"/>
  <c r="H24" i="46"/>
  <c r="D24" i="46"/>
  <c r="I24" i="46" s="1"/>
  <c r="G23" i="46"/>
  <c r="H23" i="46"/>
  <c r="D23" i="46"/>
  <c r="I23" i="46" s="1"/>
  <c r="S72" i="18" l="1"/>
  <c r="S73" i="18" s="1"/>
  <c r="S74" i="18" s="1"/>
  <c r="S75" i="18" s="1"/>
  <c r="S76" i="18" s="1"/>
  <c r="S77" i="18" s="1"/>
  <c r="S78" i="18" s="1"/>
  <c r="G280" i="20"/>
  <c r="I281" i="20"/>
  <c r="J281" i="20"/>
  <c r="K281" i="20"/>
  <c r="AL77" i="18"/>
  <c r="AM78" i="18"/>
  <c r="N55" i="18"/>
  <c r="G279" i="20" l="1"/>
  <c r="I280" i="20"/>
  <c r="J280" i="20"/>
  <c r="K280" i="20"/>
  <c r="AL76" i="18"/>
  <c r="AM77" i="18"/>
  <c r="G278" i="20" l="1"/>
  <c r="J279" i="20"/>
  <c r="K279" i="20"/>
  <c r="I279" i="20"/>
  <c r="AL75" i="18"/>
  <c r="AM76" i="18"/>
  <c r="N42" i="18"/>
  <c r="Q81" i="18" s="1"/>
  <c r="R105" i="18" l="1"/>
  <c r="R114" i="18" s="1"/>
  <c r="T120" i="18" s="1"/>
  <c r="G277" i="20"/>
  <c r="K278" i="20"/>
  <c r="J278" i="20"/>
  <c r="I278" i="20"/>
  <c r="AJ130" i="18"/>
  <c r="AJ131" i="18" s="1"/>
  <c r="AL74" i="18"/>
  <c r="AM75" i="18"/>
  <c r="G276" i="20" l="1"/>
  <c r="I277" i="20"/>
  <c r="K277" i="20"/>
  <c r="J277" i="20"/>
  <c r="V123" i="18"/>
  <c r="S93" i="18"/>
  <c r="U133" i="18"/>
  <c r="AL73" i="18"/>
  <c r="AM74" i="18"/>
  <c r="N81" i="18"/>
  <c r="V76" i="18" l="1"/>
  <c r="V78" i="18"/>
  <c r="V77" i="18"/>
  <c r="X76" i="18"/>
  <c r="W76" i="18"/>
  <c r="V75" i="18"/>
  <c r="V74" i="18"/>
  <c r="V44" i="18"/>
  <c r="W44" i="18" s="1"/>
  <c r="V32" i="18"/>
  <c r="V72" i="18"/>
  <c r="W72" i="18" s="1"/>
  <c r="V73" i="18"/>
  <c r="G275" i="20"/>
  <c r="I276" i="20"/>
  <c r="K276" i="20"/>
  <c r="J276" i="20"/>
  <c r="V70" i="18"/>
  <c r="V71" i="18"/>
  <c r="V68" i="18"/>
  <c r="V69" i="18"/>
  <c r="V67" i="18"/>
  <c r="V31" i="18"/>
  <c r="V30" i="18"/>
  <c r="W30" i="18" s="1"/>
  <c r="V43" i="18"/>
  <c r="V29" i="18"/>
  <c r="X29" i="18" s="1"/>
  <c r="V42" i="18"/>
  <c r="V45" i="18"/>
  <c r="V41" i="18"/>
  <c r="V133" i="18"/>
  <c r="V66" i="18"/>
  <c r="V40" i="18"/>
  <c r="V65" i="18"/>
  <c r="V28" i="18"/>
  <c r="V64" i="18"/>
  <c r="V27" i="18"/>
  <c r="V25" i="18"/>
  <c r="V26" i="18"/>
  <c r="V63" i="18"/>
  <c r="V62" i="18"/>
  <c r="V61" i="18"/>
  <c r="V24" i="18"/>
  <c r="V60" i="18"/>
  <c r="V59" i="18"/>
  <c r="V57" i="18"/>
  <c r="V58" i="18"/>
  <c r="V21" i="18"/>
  <c r="V23" i="18"/>
  <c r="V54" i="18"/>
  <c r="V20" i="18"/>
  <c r="V22" i="18"/>
  <c r="V55" i="18"/>
  <c r="V56" i="18"/>
  <c r="AL72" i="18"/>
  <c r="AM73" i="18"/>
  <c r="W77" i="18" l="1"/>
  <c r="X77" i="18"/>
  <c r="W78" i="18"/>
  <c r="X78" i="18"/>
  <c r="W74" i="18"/>
  <c r="X74" i="18"/>
  <c r="X44" i="18"/>
  <c r="W75" i="18"/>
  <c r="X75" i="18"/>
  <c r="X32" i="18"/>
  <c r="W32" i="18"/>
  <c r="X72" i="18"/>
  <c r="W73" i="18"/>
  <c r="X73" i="18"/>
  <c r="G274" i="20"/>
  <c r="K275" i="20"/>
  <c r="J275" i="20"/>
  <c r="I275" i="20"/>
  <c r="W71" i="18"/>
  <c r="X71" i="18"/>
  <c r="W70" i="18"/>
  <c r="X70" i="18"/>
  <c r="X69" i="18"/>
  <c r="W69" i="18"/>
  <c r="W68" i="18"/>
  <c r="X68" i="18"/>
  <c r="W67" i="18"/>
  <c r="X67" i="18"/>
  <c r="W31" i="18"/>
  <c r="X31" i="18"/>
  <c r="X30" i="18"/>
  <c r="W43" i="18"/>
  <c r="X43" i="18"/>
  <c r="W29" i="18"/>
  <c r="W42" i="18"/>
  <c r="X42" i="18"/>
  <c r="W41" i="18"/>
  <c r="X41" i="18"/>
  <c r="W45" i="18"/>
  <c r="X45" i="18"/>
  <c r="S92" i="18"/>
  <c r="N58" i="18"/>
  <c r="S91" i="18"/>
  <c r="U91" i="18" s="1"/>
  <c r="W66" i="18"/>
  <c r="X66" i="18"/>
  <c r="X40" i="18"/>
  <c r="W40" i="18"/>
  <c r="W22" i="18"/>
  <c r="X22" i="18"/>
  <c r="W21" i="18"/>
  <c r="X21" i="18"/>
  <c r="W59" i="18"/>
  <c r="X59" i="18"/>
  <c r="W61" i="18"/>
  <c r="X61" i="18"/>
  <c r="W64" i="18"/>
  <c r="X64" i="18"/>
  <c r="W56" i="18"/>
  <c r="X56" i="18"/>
  <c r="W62" i="18"/>
  <c r="X62" i="18"/>
  <c r="W26" i="18"/>
  <c r="X26" i="18"/>
  <c r="W28" i="18"/>
  <c r="X28" i="18"/>
  <c r="W20" i="18"/>
  <c r="X20" i="18"/>
  <c r="W58" i="18"/>
  <c r="X58" i="18"/>
  <c r="W25" i="18"/>
  <c r="X25" i="18"/>
  <c r="X65" i="18"/>
  <c r="W65" i="18"/>
  <c r="W55" i="18"/>
  <c r="X55" i="18"/>
  <c r="W54" i="18"/>
  <c r="X54" i="18"/>
  <c r="W60" i="18"/>
  <c r="X60" i="18"/>
  <c r="W23" i="18"/>
  <c r="X23" i="18"/>
  <c r="W57" i="18"/>
  <c r="X57" i="18"/>
  <c r="X24" i="18"/>
  <c r="W24" i="18"/>
  <c r="W63" i="18"/>
  <c r="X63" i="18"/>
  <c r="W27" i="18"/>
  <c r="X27" i="18"/>
  <c r="AL71" i="18"/>
  <c r="AM72" i="18"/>
  <c r="G273" i="20" l="1"/>
  <c r="J274" i="20"/>
  <c r="I274" i="20"/>
  <c r="K274" i="20"/>
  <c r="N31" i="18"/>
  <c r="L21" i="18" s="1"/>
  <c r="U92" i="18"/>
  <c r="V92" i="18" s="1"/>
  <c r="AL70" i="18"/>
  <c r="AM71" i="18"/>
  <c r="G272" i="20" l="1"/>
  <c r="K273" i="20"/>
  <c r="J273" i="20"/>
  <c r="I273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I272" i="20" l="1"/>
  <c r="J272" i="20"/>
  <c r="K272" i="20"/>
  <c r="G271" i="20"/>
  <c r="AL68" i="18"/>
  <c r="AM69" i="18"/>
  <c r="N2" i="33"/>
  <c r="G270" i="20" l="1"/>
  <c r="I271" i="20"/>
  <c r="K271" i="20"/>
  <c r="J271" i="20"/>
  <c r="AL67" i="18"/>
  <c r="AM68" i="18"/>
  <c r="I2" i="33"/>
  <c r="E2" i="33"/>
  <c r="J2" i="33"/>
  <c r="F2" i="33"/>
  <c r="K2" i="33"/>
  <c r="G2" i="33"/>
  <c r="D2" i="33"/>
  <c r="C2" i="33"/>
  <c r="H2" i="33"/>
  <c r="D73" i="45"/>
  <c r="G269" i="20" l="1"/>
  <c r="I270" i="20"/>
  <c r="K270" i="20"/>
  <c r="J270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I269" i="20" l="1"/>
  <c r="K269" i="20"/>
  <c r="J269" i="20"/>
  <c r="G268" i="20"/>
  <c r="AL65" i="18"/>
  <c r="AM66" i="18"/>
  <c r="E45" i="14"/>
  <c r="J268" i="20" l="1"/>
  <c r="K268" i="20"/>
  <c r="I268" i="20"/>
  <c r="G267" i="20"/>
  <c r="AL64" i="18"/>
  <c r="AM65" i="18"/>
  <c r="E44" i="14"/>
  <c r="J267" i="20" l="1"/>
  <c r="I267" i="20"/>
  <c r="K267" i="20"/>
  <c r="G266" i="20"/>
  <c r="AM64" i="18"/>
  <c r="AL63" i="18"/>
  <c r="E43" i="14"/>
  <c r="G43" i="14" s="1"/>
  <c r="J266" i="20" l="1"/>
  <c r="K266" i="20"/>
  <c r="G265" i="20"/>
  <c r="I266" i="20"/>
  <c r="AL62" i="18"/>
  <c r="AM63" i="18"/>
  <c r="E42" i="14"/>
  <c r="G42" i="14" s="1"/>
  <c r="K265" i="20" l="1"/>
  <c r="I265" i="20"/>
  <c r="G264" i="20"/>
  <c r="J265" i="20"/>
  <c r="AL61" i="18"/>
  <c r="AM62" i="18"/>
  <c r="E41" i="14"/>
  <c r="G41" i="14" s="1"/>
  <c r="G263" i="20" l="1"/>
  <c r="K264" i="20"/>
  <c r="J264" i="20"/>
  <c r="I264" i="20"/>
  <c r="AM61" i="18"/>
  <c r="AL60" i="18"/>
  <c r="E40" i="14"/>
  <c r="G40" i="14" s="1"/>
  <c r="G262" i="20" l="1"/>
  <c r="J263" i="20"/>
  <c r="K263" i="20"/>
  <c r="I26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61" i="20" l="1"/>
  <c r="I262" i="20"/>
  <c r="K262" i="20"/>
  <c r="J262" i="20"/>
  <c r="AM59" i="18"/>
  <c r="AL58" i="18"/>
  <c r="E38" i="14"/>
  <c r="G38" i="14" s="1"/>
  <c r="J261" i="20" l="1"/>
  <c r="K261" i="20"/>
  <c r="G260" i="20"/>
  <c r="I261" i="20"/>
  <c r="AL57" i="18"/>
  <c r="AM58" i="18"/>
  <c r="E37" i="14"/>
  <c r="G37" i="14" s="1"/>
  <c r="G259" i="20" l="1"/>
  <c r="K260" i="20"/>
  <c r="J260" i="20"/>
  <c r="I260" i="20"/>
  <c r="AL56" i="18"/>
  <c r="AM57" i="18"/>
  <c r="E36" i="14"/>
  <c r="G36" i="14" s="1"/>
  <c r="B105" i="13"/>
  <c r="G258" i="20" l="1"/>
  <c r="J259" i="20"/>
  <c r="K259" i="20"/>
  <c r="I259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57" i="20" l="1"/>
  <c r="K258" i="20"/>
  <c r="I258" i="20"/>
  <c r="J258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56" i="20" l="1"/>
  <c r="I257" i="20"/>
  <c r="K257" i="20"/>
  <c r="J257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55" i="20" l="1"/>
  <c r="I256" i="20"/>
  <c r="K256" i="20"/>
  <c r="J256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54" i="20" l="1"/>
  <c r="I255" i="20"/>
  <c r="J255" i="20"/>
  <c r="K255" i="20"/>
  <c r="H33" i="48"/>
  <c r="B27" i="50"/>
  <c r="D2" i="50"/>
  <c r="G2" i="50"/>
  <c r="G28" i="50" s="1"/>
  <c r="AL51" i="18"/>
  <c r="AM52" i="18"/>
  <c r="D27" i="48"/>
  <c r="E252" i="15"/>
  <c r="K254" i="20" l="1"/>
  <c r="I254" i="20"/>
  <c r="J254" i="20"/>
  <c r="G253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52" i="20" l="1"/>
  <c r="K253" i="20"/>
  <c r="I253" i="20"/>
  <c r="J253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K252" i="20" l="1"/>
  <c r="J252" i="20"/>
  <c r="I252" i="20"/>
  <c r="G251" i="20"/>
  <c r="AL48" i="18"/>
  <c r="AM49" i="18"/>
  <c r="E30" i="14"/>
  <c r="G31" i="14"/>
  <c r="E248" i="15"/>
  <c r="G250" i="20" l="1"/>
  <c r="J251" i="20"/>
  <c r="K251" i="20"/>
  <c r="I251" i="20"/>
  <c r="AL47" i="18"/>
  <c r="AM48" i="18"/>
  <c r="E29" i="14"/>
  <c r="G30" i="14"/>
  <c r="E247" i="15"/>
  <c r="E246" i="15"/>
  <c r="G249" i="20" l="1"/>
  <c r="I250" i="20"/>
  <c r="J250" i="20"/>
  <c r="K250" i="20"/>
  <c r="AL46" i="18"/>
  <c r="AM47" i="18"/>
  <c r="E28" i="14"/>
  <c r="G29" i="14"/>
  <c r="E245" i="15"/>
  <c r="I249" i="20" l="1"/>
  <c r="J249" i="20"/>
  <c r="G248" i="20"/>
  <c r="K249" i="20"/>
  <c r="AM46" i="18"/>
  <c r="AL45" i="18"/>
  <c r="E27" i="14"/>
  <c r="G28" i="14"/>
  <c r="N15" i="33"/>
  <c r="E244" i="15"/>
  <c r="G247" i="20" l="1"/>
  <c r="J248" i="20"/>
  <c r="I248" i="20"/>
  <c r="K248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46" i="20" l="1"/>
  <c r="I247" i="20"/>
  <c r="K247" i="20"/>
  <c r="J247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45" i="20" l="1"/>
  <c r="I246" i="20"/>
  <c r="J246" i="20"/>
  <c r="K246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44" i="20" l="1"/>
  <c r="I245" i="20"/>
  <c r="K245" i="20"/>
  <c r="J245" i="20"/>
  <c r="AL41" i="18"/>
  <c r="AM42" i="18"/>
  <c r="E23" i="14"/>
  <c r="G24" i="14"/>
  <c r="H25" i="43"/>
  <c r="G2" i="43"/>
  <c r="G25" i="43" s="1"/>
  <c r="G30" i="43" s="1"/>
  <c r="H30" i="43" s="1"/>
  <c r="K244" i="20" l="1"/>
  <c r="I244" i="20"/>
  <c r="J244" i="20"/>
  <c r="G243" i="20"/>
  <c r="AM41" i="18"/>
  <c r="AL40" i="18"/>
  <c r="E22" i="14"/>
  <c r="G23" i="14"/>
  <c r="I2" i="43"/>
  <c r="I25" i="43" s="1"/>
  <c r="I30" i="43" s="1"/>
  <c r="D24" i="43"/>
  <c r="G242" i="20" l="1"/>
  <c r="J243" i="20"/>
  <c r="K243" i="20"/>
  <c r="I243" i="20"/>
  <c r="AL39" i="18"/>
  <c r="AM40" i="18"/>
  <c r="E21" i="14"/>
  <c r="E20" i="14" s="1"/>
  <c r="E19" i="14" s="1"/>
  <c r="E18" i="14" s="1"/>
  <c r="G22" i="14"/>
  <c r="E243" i="15"/>
  <c r="G241" i="20" l="1"/>
  <c r="J242" i="20"/>
  <c r="I242" i="20"/>
  <c r="K242" i="20"/>
  <c r="AM39" i="18"/>
  <c r="AL38" i="18"/>
  <c r="E242" i="15"/>
  <c r="G240" i="20" l="1"/>
  <c r="K241" i="20"/>
  <c r="I241" i="20"/>
  <c r="J241" i="20"/>
  <c r="AL37" i="18"/>
  <c r="AM38" i="18"/>
  <c r="J57" i="33"/>
  <c r="J55" i="33"/>
  <c r="J54" i="33"/>
  <c r="G239" i="20" l="1"/>
  <c r="J240" i="20"/>
  <c r="I240" i="20"/>
  <c r="K240" i="20"/>
  <c r="AL36" i="18"/>
  <c r="AM37" i="18"/>
  <c r="L57" i="33"/>
  <c r="E241" i="15"/>
  <c r="G238" i="20" l="1"/>
  <c r="K239" i="20"/>
  <c r="I239" i="20"/>
  <c r="J239" i="20"/>
  <c r="AM36" i="18"/>
  <c r="AL35" i="18"/>
  <c r="D168" i="20"/>
  <c r="J238" i="20" l="1"/>
  <c r="I238" i="20"/>
  <c r="G237" i="20"/>
  <c r="K238" i="20"/>
  <c r="AL34" i="18"/>
  <c r="AM35" i="18"/>
  <c r="E240" i="15"/>
  <c r="E239" i="15"/>
  <c r="I237" i="20" l="1"/>
  <c r="G236" i="20"/>
  <c r="J237" i="20"/>
  <c r="K237" i="20"/>
  <c r="D259" i="15"/>
  <c r="AL33" i="18"/>
  <c r="AM34" i="18"/>
  <c r="G235" i="20" l="1"/>
  <c r="J236" i="20"/>
  <c r="K236" i="20"/>
  <c r="I236" i="20"/>
  <c r="D258" i="15"/>
  <c r="F259" i="15"/>
  <c r="AL32" i="18"/>
  <c r="AM33" i="18"/>
  <c r="G234" i="20" l="1"/>
  <c r="I235" i="20"/>
  <c r="J235" i="20"/>
  <c r="K235" i="20"/>
  <c r="D257" i="15"/>
  <c r="F258" i="15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K234" i="20" l="1"/>
  <c r="I234" i="20"/>
  <c r="J234" i="20"/>
  <c r="G233" i="20"/>
  <c r="D256" i="15"/>
  <c r="F257" i="15"/>
  <c r="AL30" i="18"/>
  <c r="AM31" i="18"/>
  <c r="L60" i="32"/>
  <c r="L48" i="32"/>
  <c r="J233" i="20" l="1"/>
  <c r="K233" i="20"/>
  <c r="G232" i="20"/>
  <c r="I233" i="20"/>
  <c r="D255" i="15"/>
  <c r="F256" i="15"/>
  <c r="AL29" i="18"/>
  <c r="AM30" i="18"/>
  <c r="G231" i="20" l="1"/>
  <c r="J232" i="20"/>
  <c r="I232" i="20"/>
  <c r="K232" i="20"/>
  <c r="D254" i="15"/>
  <c r="F255" i="15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30" i="20" l="1"/>
  <c r="J231" i="20"/>
  <c r="K231" i="20"/>
  <c r="I231" i="20"/>
  <c r="D253" i="15"/>
  <c r="F254" i="15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G229" i="20" l="1"/>
  <c r="I230" i="20"/>
  <c r="J230" i="20"/>
  <c r="K230" i="20"/>
  <c r="D252" i="15"/>
  <c r="F253" i="15"/>
  <c r="AL26" i="18"/>
  <c r="AM27" i="18"/>
  <c r="G182" i="13"/>
  <c r="E180" i="13"/>
  <c r="G181" i="13"/>
  <c r="F140" i="13"/>
  <c r="F141" i="13"/>
  <c r="F142" i="13"/>
  <c r="F143" i="13"/>
  <c r="F144" i="13"/>
  <c r="F145" i="13"/>
  <c r="G228" i="20" l="1"/>
  <c r="K229" i="20"/>
  <c r="I229" i="20"/>
  <c r="J229" i="20"/>
  <c r="D251" i="15"/>
  <c r="F252" i="15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K228" i="20" l="1"/>
  <c r="J228" i="20"/>
  <c r="I228" i="20"/>
  <c r="G227" i="20"/>
  <c r="D250" i="15"/>
  <c r="F251" i="15"/>
  <c r="AL24" i="18"/>
  <c r="AM25" i="18"/>
  <c r="E178" i="13"/>
  <c r="G179" i="13"/>
  <c r="J227" i="20" l="1"/>
  <c r="I227" i="20"/>
  <c r="G226" i="20"/>
  <c r="K227" i="20"/>
  <c r="D249" i="15"/>
  <c r="F250" i="15"/>
  <c r="AM24" i="18"/>
  <c r="AL23" i="18"/>
  <c r="E177" i="13"/>
  <c r="G178" i="13"/>
  <c r="I226" i="20" l="1"/>
  <c r="G225" i="20"/>
  <c r="K226" i="20"/>
  <c r="J226" i="20"/>
  <c r="F249" i="15"/>
  <c r="D248" i="15"/>
  <c r="AM23" i="18"/>
  <c r="AL22" i="18"/>
  <c r="E176" i="13"/>
  <c r="G177" i="13"/>
  <c r="D165" i="20"/>
  <c r="K225" i="20" l="1"/>
  <c r="J225" i="20"/>
  <c r="I225" i="20"/>
  <c r="G224" i="20"/>
  <c r="D247" i="15"/>
  <c r="F248" i="15"/>
  <c r="AL21" i="18"/>
  <c r="AL20" i="18" s="1"/>
  <c r="AM22" i="18"/>
  <c r="E175" i="13"/>
  <c r="G176" i="13"/>
  <c r="D164" i="20"/>
  <c r="J224" i="20" l="1"/>
  <c r="K224" i="20"/>
  <c r="G223" i="20"/>
  <c r="I224" i="20"/>
  <c r="F247" i="15"/>
  <c r="D246" i="15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22" i="20" l="1"/>
  <c r="K223" i="20"/>
  <c r="J223" i="20"/>
  <c r="I223" i="20"/>
  <c r="AM124" i="18"/>
  <c r="F246" i="15"/>
  <c r="D245" i="15"/>
  <c r="E173" i="13"/>
  <c r="G174" i="13"/>
  <c r="X720" i="41"/>
  <c r="U2123" i="41"/>
  <c r="I222" i="20" l="1"/>
  <c r="J222" i="20"/>
  <c r="K222" i="20"/>
  <c r="G221" i="20"/>
  <c r="F245" i="15"/>
  <c r="D244" i="15"/>
  <c r="AN124" i="18"/>
  <c r="AJ129" i="18" s="1"/>
  <c r="AJ133" i="18" s="1"/>
  <c r="E172" i="13"/>
  <c r="G173" i="13"/>
  <c r="D62" i="38"/>
  <c r="G220" i="20" l="1"/>
  <c r="I221" i="20"/>
  <c r="K221" i="20"/>
  <c r="J221" i="20"/>
  <c r="F244" i="15"/>
  <c r="D243" i="15"/>
  <c r="AJ132" i="18"/>
  <c r="E171" i="13"/>
  <c r="G172" i="13"/>
  <c r="I220" i="20" l="1"/>
  <c r="K220" i="20"/>
  <c r="J220" i="20"/>
  <c r="G219" i="20"/>
  <c r="F243" i="15"/>
  <c r="D242" i="15"/>
  <c r="E170" i="13"/>
  <c r="G171" i="13"/>
  <c r="I219" i="20" l="1"/>
  <c r="K219" i="20"/>
  <c r="J219" i="20"/>
  <c r="G218" i="20"/>
  <c r="F242" i="15"/>
  <c r="D241" i="15"/>
  <c r="E169" i="13"/>
  <c r="G170" i="13"/>
  <c r="D163" i="20"/>
  <c r="K218" i="20" l="1"/>
  <c r="J218" i="20"/>
  <c r="G217" i="20"/>
  <c r="I218" i="20"/>
  <c r="F241" i="15"/>
  <c r="D240" i="15"/>
  <c r="E168" i="13"/>
  <c r="G169" i="13"/>
  <c r="K217" i="20" l="1"/>
  <c r="I217" i="20"/>
  <c r="G216" i="20"/>
  <c r="J217" i="20"/>
  <c r="D239" i="15"/>
  <c r="F240" i="15"/>
  <c r="E167" i="13"/>
  <c r="G168" i="13"/>
  <c r="D162" i="20"/>
  <c r="K216" i="20" l="1"/>
  <c r="J216" i="20"/>
  <c r="I216" i="20"/>
  <c r="G215" i="20"/>
  <c r="D238" i="15"/>
  <c r="F239" i="15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K215" i="20" l="1"/>
  <c r="J215" i="20"/>
  <c r="G214" i="20"/>
  <c r="I215" i="20"/>
  <c r="D237" i="15"/>
  <c r="F238" i="15"/>
  <c r="G73" i="16"/>
  <c r="G72" i="16"/>
  <c r="E165" i="13"/>
  <c r="G166" i="13"/>
  <c r="G71" i="16"/>
  <c r="G70" i="16"/>
  <c r="G69" i="16"/>
  <c r="D160" i="20"/>
  <c r="I214" i="20" l="1"/>
  <c r="K214" i="20"/>
  <c r="J214" i="20"/>
  <c r="G213" i="20"/>
  <c r="F237" i="15"/>
  <c r="D236" i="15"/>
  <c r="E164" i="13"/>
  <c r="G165" i="13"/>
  <c r="D159" i="20"/>
  <c r="K213" i="20" l="1"/>
  <c r="J213" i="20"/>
  <c r="I213" i="20"/>
  <c r="G212" i="20"/>
  <c r="D235" i="15"/>
  <c r="F236" i="15"/>
  <c r="E163" i="13"/>
  <c r="G164" i="13"/>
  <c r="D158" i="20"/>
  <c r="D157" i="20"/>
  <c r="K212" i="20" l="1"/>
  <c r="G211" i="20"/>
  <c r="I212" i="20"/>
  <c r="J212" i="20"/>
  <c r="F235" i="15"/>
  <c r="D234" i="15"/>
  <c r="E162" i="13"/>
  <c r="G163" i="13"/>
  <c r="D156" i="20"/>
  <c r="K211" i="20" l="1"/>
  <c r="J211" i="20"/>
  <c r="I211" i="20"/>
  <c r="G210" i="20"/>
  <c r="F234" i="15"/>
  <c r="D233" i="15"/>
  <c r="E161" i="13"/>
  <c r="G162" i="13"/>
  <c r="D155" i="20"/>
  <c r="I210" i="20" l="1"/>
  <c r="J210" i="20"/>
  <c r="G209" i="20"/>
  <c r="K210" i="20"/>
  <c r="D232" i="15"/>
  <c r="F233" i="15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I209" i="20" l="1"/>
  <c r="K209" i="20"/>
  <c r="G208" i="20"/>
  <c r="J209" i="20"/>
  <c r="F232" i="15"/>
  <c r="D231" i="15"/>
  <c r="E159" i="13"/>
  <c r="G160" i="13"/>
  <c r="K208" i="20" l="1"/>
  <c r="J208" i="20"/>
  <c r="G207" i="20"/>
  <c r="I208" i="20"/>
  <c r="F231" i="15"/>
  <c r="D230" i="15"/>
  <c r="E158" i="13"/>
  <c r="G159" i="13"/>
  <c r="D154" i="20"/>
  <c r="D153" i="20"/>
  <c r="I207" i="20" l="1"/>
  <c r="K207" i="20"/>
  <c r="J207" i="20"/>
  <c r="G206" i="20"/>
  <c r="F230" i="15"/>
  <c r="D229" i="15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205" i="20" l="1"/>
  <c r="J206" i="20"/>
  <c r="I206" i="20"/>
  <c r="K206" i="20"/>
  <c r="F229" i="15"/>
  <c r="D228" i="15"/>
  <c r="E156" i="13"/>
  <c r="G157" i="13"/>
  <c r="K205" i="20" l="1"/>
  <c r="J205" i="20"/>
  <c r="G204" i="20"/>
  <c r="I205" i="20"/>
  <c r="F228" i="15"/>
  <c r="D227" i="15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J204" i="20" l="1"/>
  <c r="I204" i="20"/>
  <c r="K204" i="20"/>
  <c r="G203" i="20"/>
  <c r="F227" i="15"/>
  <c r="D226" i="15"/>
  <c r="E154" i="13"/>
  <c r="G155" i="13"/>
  <c r="I46" i="32"/>
  <c r="G202" i="20" l="1"/>
  <c r="J203" i="20"/>
  <c r="K203" i="20"/>
  <c r="I203" i="20"/>
  <c r="D225" i="15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226" i="15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201" i="20" l="1"/>
  <c r="K202" i="20"/>
  <c r="J202" i="20"/>
  <c r="I202" i="20"/>
  <c r="F196" i="15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J201" i="20" l="1"/>
  <c r="K201" i="20"/>
  <c r="I201" i="20"/>
  <c r="G200" i="20"/>
  <c r="E151" i="13"/>
  <c r="G152" i="13"/>
  <c r="J200" i="20" l="1"/>
  <c r="K200" i="20"/>
  <c r="G199" i="20"/>
  <c r="I200" i="20"/>
  <c r="E150" i="13"/>
  <c r="G151" i="13"/>
  <c r="J199" i="20" l="1"/>
  <c r="K199" i="20"/>
  <c r="I199" i="20"/>
  <c r="G198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J198" i="20" l="1"/>
  <c r="I198" i="20"/>
  <c r="G197" i="20"/>
  <c r="K198" i="20"/>
  <c r="E148" i="13"/>
  <c r="G149" i="13"/>
  <c r="G196" i="20" l="1"/>
  <c r="J197" i="20"/>
  <c r="I197" i="20"/>
  <c r="K197" i="20"/>
  <c r="E147" i="13"/>
  <c r="G148" i="13"/>
  <c r="K196" i="20" l="1"/>
  <c r="I196" i="20"/>
  <c r="G195" i="20"/>
  <c r="J196" i="20"/>
  <c r="E146" i="13"/>
  <c r="G147" i="13"/>
  <c r="K47" i="32"/>
  <c r="U47" i="32" s="1"/>
  <c r="U46" i="32"/>
  <c r="G194" i="20" l="1"/>
  <c r="K195" i="20"/>
  <c r="J195" i="20"/>
  <c r="I195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I194" i="20" l="1"/>
  <c r="J194" i="20"/>
  <c r="G193" i="20"/>
  <c r="K194" i="20"/>
  <c r="E144" i="13"/>
  <c r="G145" i="13"/>
  <c r="AD15" i="32"/>
  <c r="AB15" i="32"/>
  <c r="Z34" i="32"/>
  <c r="G45" i="10"/>
  <c r="D42" i="34"/>
  <c r="J193" i="20" l="1"/>
  <c r="G192" i="20"/>
  <c r="K193" i="20"/>
  <c r="I193" i="20"/>
  <c r="E143" i="13"/>
  <c r="G144" i="13"/>
  <c r="AC16" i="32"/>
  <c r="AD16" i="32"/>
  <c r="AB16" i="32"/>
  <c r="G191" i="20" l="1"/>
  <c r="K192" i="20"/>
  <c r="I192" i="20"/>
  <c r="J192" i="20"/>
  <c r="E142" i="13"/>
  <c r="G143" i="13"/>
  <c r="G190" i="20" l="1"/>
  <c r="K191" i="20"/>
  <c r="I191" i="20"/>
  <c r="J191" i="20"/>
  <c r="E141" i="13"/>
  <c r="G142" i="13"/>
  <c r="U8" i="32"/>
  <c r="G189" i="20" l="1"/>
  <c r="K190" i="20"/>
  <c r="J190" i="20"/>
  <c r="I190" i="20"/>
  <c r="E140" i="13"/>
  <c r="G141" i="13"/>
  <c r="G188" i="20" l="1"/>
  <c r="K189" i="20"/>
  <c r="J189" i="20"/>
  <c r="I189" i="20"/>
  <c r="E139" i="13"/>
  <c r="G140" i="13"/>
  <c r="N34" i="33"/>
  <c r="G187" i="20" l="1"/>
  <c r="J188" i="20"/>
  <c r="I188" i="20"/>
  <c r="K188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86" i="20" l="1"/>
  <c r="K187" i="20"/>
  <c r="J187" i="20"/>
  <c r="I187" i="20"/>
  <c r="E137" i="13"/>
  <c r="G138" i="13"/>
  <c r="Q43" i="32"/>
  <c r="G185" i="20" l="1"/>
  <c r="I186" i="20"/>
  <c r="K186" i="20"/>
  <c r="J186" i="20"/>
  <c r="E136" i="13"/>
  <c r="G137" i="13"/>
  <c r="I42" i="32"/>
  <c r="K41" i="32"/>
  <c r="M41" i="32"/>
  <c r="M29" i="32"/>
  <c r="R29" i="32" s="1"/>
  <c r="K29" i="32"/>
  <c r="G184" i="20" l="1"/>
  <c r="I185" i="20"/>
  <c r="K185" i="20"/>
  <c r="J185" i="20"/>
  <c r="E135" i="13"/>
  <c r="G136" i="13"/>
  <c r="Q29" i="32"/>
  <c r="I184" i="20" l="1"/>
  <c r="K184" i="20"/>
  <c r="J184" i="20"/>
  <c r="G183" i="20"/>
  <c r="E134" i="13"/>
  <c r="G135" i="13"/>
  <c r="U29" i="32"/>
  <c r="U62" i="32"/>
  <c r="U63" i="32"/>
  <c r="U64" i="32"/>
  <c r="U65" i="32"/>
  <c r="U66" i="32"/>
  <c r="U67" i="32"/>
  <c r="U68" i="32"/>
  <c r="AC28" i="33"/>
  <c r="I183" i="20" l="1"/>
  <c r="J183" i="20"/>
  <c r="G182" i="20"/>
  <c r="K183" i="20"/>
  <c r="E133" i="13"/>
  <c r="G134" i="13"/>
  <c r="AE24" i="33"/>
  <c r="K182" i="20" l="1"/>
  <c r="J182" i="20"/>
  <c r="I182" i="20"/>
  <c r="G181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80" i="20" l="1"/>
  <c r="J181" i="20"/>
  <c r="K181" i="20"/>
  <c r="I181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K180" i="20" l="1"/>
  <c r="I180" i="20"/>
  <c r="G179" i="20"/>
  <c r="J180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I179" i="20" l="1"/>
  <c r="J179" i="20"/>
  <c r="K179" i="20"/>
  <c r="G178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77" i="20" l="1"/>
  <c r="J178" i="20"/>
  <c r="K178" i="20"/>
  <c r="I178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76" i="20" l="1"/>
  <c r="J177" i="20"/>
  <c r="I177" i="20"/>
  <c r="K17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J176" i="20" l="1"/>
  <c r="G175" i="20"/>
  <c r="K176" i="20"/>
  <c r="I176" i="20"/>
  <c r="E126" i="13"/>
  <c r="G127" i="13"/>
  <c r="H30" i="42"/>
  <c r="I2" i="42"/>
  <c r="I25" i="42" s="1"/>
  <c r="I30" i="42" s="1"/>
  <c r="D24" i="42"/>
  <c r="K28" i="32"/>
  <c r="K175" i="20" l="1"/>
  <c r="G174" i="20"/>
  <c r="J175" i="20"/>
  <c r="I175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J174" i="20" l="1"/>
  <c r="G173" i="20"/>
  <c r="I174" i="20"/>
  <c r="K174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72" i="20" l="1"/>
  <c r="I173" i="20"/>
  <c r="K173" i="20"/>
  <c r="J173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71" i="20" l="1"/>
  <c r="J172" i="20"/>
  <c r="K172" i="20"/>
  <c r="I172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70" i="20" l="1"/>
  <c r="I171" i="20"/>
  <c r="K171" i="20"/>
  <c r="J171" i="20"/>
  <c r="G102" i="13"/>
  <c r="G199" i="13"/>
  <c r="G103" i="13"/>
  <c r="U14" i="32"/>
  <c r="L14" i="32" s="1"/>
  <c r="Q9" i="32"/>
  <c r="R9" i="32"/>
  <c r="Y5" i="33"/>
  <c r="I170" i="20" l="1"/>
  <c r="J170" i="20"/>
  <c r="G169" i="20"/>
  <c r="K170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I169" i="20" l="1"/>
  <c r="J169" i="20"/>
  <c r="G168" i="20"/>
  <c r="K169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68" i="20" l="1"/>
  <c r="I168" i="20"/>
  <c r="K168" i="20"/>
  <c r="G167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66" i="20" l="1"/>
  <c r="I167" i="20"/>
  <c r="J167" i="20"/>
  <c r="K167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K166" i="20" l="1"/>
  <c r="I166" i="20"/>
  <c r="G165" i="20"/>
  <c r="J166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164" i="20" l="1"/>
  <c r="K165" i="20"/>
  <c r="J165" i="20"/>
  <c r="I165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63" i="20" l="1"/>
  <c r="J164" i="20"/>
  <c r="K164" i="20"/>
  <c r="I164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G162" i="20" l="1"/>
  <c r="I163" i="20"/>
  <c r="J163" i="20"/>
  <c r="K163" i="20"/>
  <c r="H25" i="31"/>
  <c r="G25" i="31"/>
  <c r="I2" i="31"/>
  <c r="I25" i="31" s="1"/>
  <c r="D24" i="31"/>
  <c r="B24" i="31"/>
  <c r="G44" i="10"/>
  <c r="D143" i="20"/>
  <c r="G161" i="20" l="1"/>
  <c r="K162" i="20"/>
  <c r="J162" i="20"/>
  <c r="I162" i="20"/>
  <c r="H30" i="31"/>
  <c r="I30" i="31"/>
  <c r="G160" i="20" l="1"/>
  <c r="I161" i="20"/>
  <c r="J161" i="20"/>
  <c r="K161" i="20"/>
  <c r="E184" i="15"/>
  <c r="E185" i="15"/>
  <c r="E183" i="15"/>
  <c r="K160" i="20" l="1"/>
  <c r="J160" i="20"/>
  <c r="I160" i="20"/>
  <c r="G159" i="20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J159" i="20" l="1"/>
  <c r="K159" i="20"/>
  <c r="I159" i="20"/>
  <c r="G158" i="20"/>
  <c r="D141" i="20"/>
  <c r="G157" i="20" l="1"/>
  <c r="K158" i="20"/>
  <c r="I158" i="20"/>
  <c r="J158" i="20"/>
  <c r="F2" i="16"/>
  <c r="G2" i="16" s="1"/>
  <c r="G85" i="16" s="1"/>
  <c r="G156" i="20" l="1"/>
  <c r="I157" i="20"/>
  <c r="K157" i="20"/>
  <c r="J157" i="20"/>
  <c r="F185" i="15"/>
  <c r="D140" i="20"/>
  <c r="K156" i="20" l="1"/>
  <c r="I156" i="20"/>
  <c r="J156" i="20"/>
  <c r="G155" i="20"/>
  <c r="F184" i="15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H142" i="20"/>
  <c r="H143" i="20"/>
  <c r="H144" i="20"/>
  <c r="H145" i="20"/>
  <c r="H146" i="20"/>
  <c r="H147" i="20"/>
  <c r="H148" i="20"/>
  <c r="H149" i="20"/>
  <c r="H150" i="20"/>
  <c r="D139" i="20"/>
  <c r="G154" i="20" l="1"/>
  <c r="K155" i="20"/>
  <c r="I155" i="20"/>
  <c r="J155" i="20"/>
  <c r="F183" i="15"/>
  <c r="G43" i="10"/>
  <c r="I154" i="20" l="1"/>
  <c r="K154" i="20"/>
  <c r="J154" i="20"/>
  <c r="G153" i="20"/>
  <c r="D138" i="20"/>
  <c r="K153" i="20" l="1"/>
  <c r="I153" i="20"/>
  <c r="G152" i="20"/>
  <c r="J153" i="20"/>
  <c r="G42" i="10"/>
  <c r="G151" i="20" l="1"/>
  <c r="I152" i="20"/>
  <c r="J152" i="20"/>
  <c r="K152" i="20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I151" i="20" l="1"/>
  <c r="J151" i="20"/>
  <c r="G150" i="20"/>
  <c r="K151" i="20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G149" i="20" l="1"/>
  <c r="J150" i="20"/>
  <c r="I150" i="20"/>
  <c r="K150" i="20"/>
  <c r="D42" i="28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G148" i="20" l="1"/>
  <c r="I149" i="20"/>
  <c r="J149" i="20"/>
  <c r="K149" i="20"/>
  <c r="H2" i="29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G147" i="20" l="1"/>
  <c r="I148" i="20"/>
  <c r="J148" i="20"/>
  <c r="K148" i="20"/>
  <c r="H2" i="30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G146" i="20" l="1"/>
  <c r="J147" i="20"/>
  <c r="I147" i="20"/>
  <c r="K147" i="20"/>
  <c r="H30" i="30"/>
  <c r="I2" i="30"/>
  <c r="I25" i="30" s="1"/>
  <c r="I30" i="30" s="1"/>
  <c r="D24" i="30"/>
  <c r="D42" i="27"/>
  <c r="G145" i="20" l="1"/>
  <c r="K146" i="20"/>
  <c r="J146" i="20"/>
  <c r="I146" i="20"/>
  <c r="D133" i="20"/>
  <c r="B24" i="27"/>
  <c r="G144" i="20" l="1"/>
  <c r="J145" i="20"/>
  <c r="I145" i="20"/>
  <c r="K145" i="20"/>
  <c r="G39" i="10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143" i="20" l="1"/>
  <c r="I144" i="20"/>
  <c r="J144" i="20"/>
  <c r="K144" i="20"/>
  <c r="G84" i="13"/>
  <c r="G100" i="13"/>
  <c r="G99" i="13"/>
  <c r="G98" i="13"/>
  <c r="G97" i="13"/>
  <c r="G96" i="13"/>
  <c r="G94" i="13"/>
  <c r="G95" i="13"/>
  <c r="G93" i="13"/>
  <c r="G92" i="13"/>
  <c r="G91" i="13"/>
  <c r="G90" i="13"/>
  <c r="G88" i="13"/>
  <c r="G89" i="13"/>
  <c r="G87" i="13"/>
  <c r="G85" i="13"/>
  <c r="G86" i="13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G142" i="20" l="1"/>
  <c r="K143" i="20"/>
  <c r="J143" i="20"/>
  <c r="I143" i="20"/>
  <c r="F166" i="15"/>
  <c r="F165" i="15"/>
  <c r="F164" i="15"/>
  <c r="F163" i="15"/>
  <c r="F162" i="15"/>
  <c r="F161" i="15"/>
  <c r="F160" i="15"/>
  <c r="F159" i="15"/>
  <c r="F158" i="15"/>
  <c r="G141" i="20" l="1"/>
  <c r="I142" i="20"/>
  <c r="J142" i="20"/>
  <c r="K142" i="20"/>
  <c r="D132" i="20"/>
  <c r="D131" i="20"/>
  <c r="G140" i="20" l="1"/>
  <c r="I141" i="20"/>
  <c r="K141" i="20"/>
  <c r="J141" i="20"/>
  <c r="E3" i="18"/>
  <c r="D4" i="18"/>
  <c r="E100" i="18"/>
  <c r="N6" i="18" s="1"/>
  <c r="N10" i="18" s="1"/>
  <c r="G139" i="20" l="1"/>
  <c r="I140" i="20"/>
  <c r="J140" i="20"/>
  <c r="K140" i="20"/>
  <c r="N11" i="18"/>
  <c r="G38" i="10"/>
  <c r="D129" i="20"/>
  <c r="G138" i="20" l="1"/>
  <c r="K139" i="20"/>
  <c r="I139" i="20"/>
  <c r="J139" i="20"/>
  <c r="D2" i="26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G137" i="20" l="1"/>
  <c r="K138" i="20"/>
  <c r="I138" i="20"/>
  <c r="J138" i="20"/>
  <c r="H2" i="27"/>
  <c r="H25" i="27" s="1"/>
  <c r="C24" i="27"/>
  <c r="D2" i="27"/>
  <c r="G2" i="27"/>
  <c r="G25" i="27" s="1"/>
  <c r="D24" i="26"/>
  <c r="D127" i="20"/>
  <c r="G136" i="20" l="1"/>
  <c r="I137" i="20"/>
  <c r="J137" i="20"/>
  <c r="K137" i="20"/>
  <c r="H30" i="27"/>
  <c r="I2" i="27"/>
  <c r="I25" i="27" s="1"/>
  <c r="I30" i="27" s="1"/>
  <c r="D24" i="27"/>
  <c r="G135" i="20" l="1"/>
  <c r="K136" i="20"/>
  <c r="J136" i="20"/>
  <c r="I136" i="20"/>
  <c r="D42" i="25"/>
  <c r="G134" i="20" l="1"/>
  <c r="I135" i="20"/>
  <c r="J135" i="20"/>
  <c r="K135" i="20"/>
  <c r="E83" i="13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G133" i="20" l="1"/>
  <c r="J134" i="20"/>
  <c r="K134" i="20"/>
  <c r="I134" i="20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132" i="20" l="1"/>
  <c r="J133" i="20"/>
  <c r="K133" i="20"/>
  <c r="I133" i="20"/>
  <c r="G2" i="25"/>
  <c r="G25" i="25" s="1"/>
  <c r="D2" i="25"/>
  <c r="D42" i="24"/>
  <c r="G131" i="20" l="1"/>
  <c r="I132" i="20"/>
  <c r="J132" i="20"/>
  <c r="K132" i="20"/>
  <c r="I2" i="25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130" i="20" l="1"/>
  <c r="I131" i="20"/>
  <c r="J131" i="20"/>
  <c r="K131" i="20"/>
  <c r="G74" i="13"/>
  <c r="G73" i="13"/>
  <c r="G72" i="13"/>
  <c r="G71" i="13"/>
  <c r="G70" i="13"/>
  <c r="G69" i="13"/>
  <c r="G68" i="13"/>
  <c r="G67" i="13"/>
  <c r="G66" i="13"/>
  <c r="H124" i="20"/>
  <c r="G129" i="20" l="1"/>
  <c r="I130" i="20"/>
  <c r="J130" i="20"/>
  <c r="K130" i="20"/>
  <c r="G37" i="10"/>
  <c r="G128" i="20" l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I129" i="20"/>
  <c r="F64" i="13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99" i="20" l="1"/>
  <c r="I119" i="20"/>
  <c r="K119" i="20"/>
  <c r="J116" i="20"/>
  <c r="E49" i="13"/>
  <c r="G50" i="13"/>
  <c r="I126" i="20"/>
  <c r="N17" i="18" l="1"/>
  <c r="N61" i="18" s="1"/>
  <c r="D306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2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1" i="18" s="1"/>
  <c r="F24" i="18" s="1"/>
  <c r="L62" i="18" l="1"/>
  <c r="E33" i="13"/>
  <c r="G34" i="13"/>
  <c r="I97" i="20"/>
  <c r="K97" i="20"/>
  <c r="J97" i="20"/>
  <c r="F108" i="15"/>
  <c r="C20" i="18"/>
  <c r="G20" i="14"/>
  <c r="G21" i="14"/>
  <c r="L63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99" i="20" s="1"/>
  <c r="J2" i="20"/>
  <c r="J299" i="20" s="1"/>
  <c r="I2" i="20"/>
  <c r="I299" i="20" s="1"/>
  <c r="F13" i="15"/>
  <c r="I302" i="20" l="1"/>
  <c r="J302" i="20"/>
  <c r="K302" i="20"/>
  <c r="F12" i="15"/>
  <c r="J306" i="20" l="1"/>
  <c r="K306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80" i="15" l="1"/>
  <c r="F283" i="15" s="1"/>
  <c r="V91" i="18" l="1"/>
  <c r="U93" i="18"/>
  <c r="V93" i="18" s="1"/>
</calcChain>
</file>

<file path=xl/sharedStrings.xml><?xml version="1.0" encoding="utf-8"?>
<sst xmlns="http://schemas.openxmlformats.org/spreadsheetml/2006/main" count="10102" uniqueCount="4659">
  <si>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</si>
  <si>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</si>
  <si>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</si>
  <si>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</si>
  <si>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</si>
  <si>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</si>
  <si>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</si>
  <si>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</si>
  <si>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</si>
  <si>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</si>
  <si>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</si>
  <si>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</si>
  <si>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</si>
  <si>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</si>
  <si>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</si>
  <si>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</si>
  <si>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</si>
  <si>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</si>
  <si>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</si>
  <si>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</si>
  <si>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</si>
  <si>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</si>
  <si>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</si>
  <si>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</si>
  <si>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</si>
  <si>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</si>
  <si>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</si>
  <si>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</si>
  <si>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</si>
  <si>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</si>
  <si>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</si>
  <si>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</si>
  <si>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</si>
  <si>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</si>
  <si>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</si>
  <si>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</si>
  <si>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</si>
  <si>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</si>
  <si>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</si>
  <si>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</si>
  <si>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</si>
  <si>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</si>
  <si>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</si>
  <si>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</si>
  <si>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</si>
  <si>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</si>
  <si>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</si>
  <si>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</si>
  <si>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</si>
  <si>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</si>
  <si>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</si>
  <si>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</si>
  <si>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</si>
  <si>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</si>
  <si>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</si>
  <si>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</si>
  <si>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</si>
  <si>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</si>
  <si>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</si>
  <si>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</si>
  <si>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</si>
  <si>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</si>
  <si>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</si>
  <si>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</si>
  <si>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</si>
  <si>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</si>
  <si>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</si>
  <si>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</si>
  <si>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</si>
  <si>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</si>
  <si>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</si>
  <si>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</si>
  <si>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</si>
  <si>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</si>
  <si>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</si>
  <si>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</si>
  <si>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</si>
  <si>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</si>
  <si>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</si>
  <si>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</si>
  <si>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</si>
  <si>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</si>
  <si>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</si>
  <si>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</si>
  <si>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</si>
  <si>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</si>
  <si>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</si>
  <si>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</si>
  <si>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</si>
  <si>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</si>
  <si>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</si>
  <si>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</si>
  <si>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</si>
  <si>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</si>
  <si>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</si>
  <si>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</si>
  <si>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</si>
  <si>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</si>
  <si>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</si>
  <si>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</si>
  <si>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</si>
  <si>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</si>
  <si>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</si>
  <si>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</si>
  <si>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</si>
  <si>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</si>
  <si>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</si>
  <si>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</si>
  <si>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</si>
  <si>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</si>
  <si>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</si>
  <si>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</si>
  <si>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</si>
  <si>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</si>
  <si>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</si>
  <si>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</si>
  <si>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</si>
  <si>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</si>
  <si>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</si>
  <si>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</si>
  <si>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</si>
  <si>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</si>
  <si>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</si>
  <si>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</si>
  <si>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</si>
  <si>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</si>
  <si>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</si>
  <si>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</si>
  <si>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</si>
  <si>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</si>
  <si>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</si>
  <si>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</si>
  <si>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</si>
  <si>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</si>
  <si>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</si>
  <si>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</si>
  <si>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</si>
  <si>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</si>
  <si>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</si>
  <si>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</si>
  <si>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</si>
  <si>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</si>
  <si>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</si>
  <si>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</si>
  <si>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</si>
  <si>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</si>
  <si>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</si>
  <si>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</si>
  <si>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</si>
  <si>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</si>
  <si>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</si>
  <si>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</si>
  <si>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</si>
  <si>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</si>
  <si>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</si>
  <si>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</si>
  <si>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</si>
  <si>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</si>
  <si>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</si>
  <si>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</si>
  <si>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</si>
  <si>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</si>
  <si>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</si>
  <si>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</si>
  <si>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</si>
  <si>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</si>
  <si>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</si>
  <si>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</si>
  <si>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</si>
  <si>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</si>
  <si>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</si>
  <si>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</si>
  <si>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</si>
  <si>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</si>
  <si>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</si>
  <si>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</si>
  <si>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</si>
  <si>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</si>
  <si>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</si>
  <si>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</si>
  <si>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</si>
  <si>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</si>
  <si>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</si>
  <si>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</si>
  <si>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</si>
  <si>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</si>
  <si>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</si>
  <si>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</si>
  <si>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</si>
  <si>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</si>
  <si>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</si>
  <si>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</si>
  <si>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</si>
  <si>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</si>
  <si>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</si>
  <si>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</si>
  <si>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</si>
  <si>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</si>
  <si>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</si>
  <si>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</si>
  <si>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</si>
  <si>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</si>
  <si>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</si>
  <si>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</si>
  <si>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</si>
  <si>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</si>
  <si>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</si>
  <si>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</si>
  <si>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</si>
  <si>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</si>
  <si>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</si>
  <si>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</si>
  <si>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</si>
  <si>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</si>
  <si>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</si>
  <si>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</si>
  <si>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</si>
  <si>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</si>
  <si>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</si>
  <si>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</si>
  <si>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</si>
  <si>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</si>
  <si>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</si>
  <si>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</si>
  <si>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</si>
  <si>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</si>
  <si>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</si>
  <si>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</si>
  <si>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</si>
  <si>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</si>
  <si>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</si>
  <si>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</si>
  <si>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</si>
  <si>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</si>
  <si>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</si>
  <si>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</si>
  <si>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</si>
  <si>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</si>
  <si>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</si>
  <si>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</si>
  <si>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</si>
  <si>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</si>
  <si>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</si>
  <si>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</si>
  <si>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</si>
  <si>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</si>
  <si>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</si>
  <si>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</si>
  <si>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</si>
  <si>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</si>
  <si>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</si>
  <si>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</si>
  <si>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</si>
  <si>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</si>
  <si>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</si>
  <si>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</si>
  <si>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</si>
  <si>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</si>
  <si>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</si>
  <si>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</si>
  <si>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</si>
  <si>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</si>
  <si>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</si>
  <si>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</si>
  <si>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</si>
  <si>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</si>
  <si>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</si>
  <si>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</si>
  <si>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</si>
  <si>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</si>
  <si>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</si>
  <si>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</si>
  <si>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</si>
  <si>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</si>
  <si>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</si>
  <si>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</si>
  <si>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</si>
  <si>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</si>
  <si>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</si>
  <si>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</si>
  <si>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</si>
  <si>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</si>
  <si>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</si>
  <si>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</si>
  <si>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</si>
  <si>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</si>
  <si>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</si>
  <si>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</si>
  <si>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</si>
  <si>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</si>
  <si>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</si>
  <si>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</si>
  <si>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</si>
  <si>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</si>
  <si>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</si>
  <si>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</si>
  <si>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</si>
  <si>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</si>
  <si>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</si>
  <si>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</si>
  <si>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</si>
  <si>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</si>
  <si>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</si>
  <si>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</si>
  <si>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</si>
  <si>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</si>
  <si>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</si>
  <si>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</si>
  <si>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</si>
  <si>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</si>
  <si>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</si>
  <si>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</si>
  <si>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</si>
  <si>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</si>
  <si>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</si>
  <si>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</si>
  <si>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</si>
  <si>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</si>
  <si>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</si>
  <si>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</si>
  <si>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</si>
  <si>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</si>
  <si>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</si>
  <si>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</si>
  <si>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</si>
  <si>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</si>
  <si>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</si>
  <si>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</si>
  <si>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</si>
  <si>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</si>
  <si>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</si>
  <si>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</si>
  <si>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</si>
  <si>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</si>
  <si>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</si>
  <si>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</si>
  <si>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</si>
  <si>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</si>
  <si>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</si>
  <si>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</si>
  <si>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</si>
  <si>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</si>
  <si>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</si>
  <si>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</si>
  <si>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</si>
  <si>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</si>
  <si>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</si>
  <si>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</si>
  <si>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</si>
  <si>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</si>
  <si>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</si>
  <si>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</si>
  <si>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</si>
  <si>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</si>
  <si>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</si>
  <si>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</si>
  <si>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</si>
  <si>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</si>
  <si>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</si>
  <si>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</si>
  <si>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</si>
  <si>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</si>
  <si>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</si>
  <si>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</si>
  <si>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</si>
  <si>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</si>
  <si>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</si>
  <si>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</si>
  <si>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</si>
  <si>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</si>
  <si>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</si>
  <si>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</si>
  <si>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</si>
  <si>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</si>
  <si>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</si>
  <si>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</si>
  <si>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</si>
  <si>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</si>
  <si>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</si>
  <si>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</si>
  <si>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</si>
  <si>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</si>
  <si>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</si>
  <si>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</si>
  <si>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</si>
  <si>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</si>
  <si>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</si>
  <si>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</si>
  <si>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</si>
  <si>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</si>
  <si>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</si>
  <si>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</si>
  <si>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</si>
  <si>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</si>
  <si>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</si>
  <si>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</si>
  <si>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</si>
  <si>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</si>
  <si>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</si>
  <si>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</si>
  <si>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</si>
  <si>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</si>
  <si>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</si>
  <si>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</si>
  <si>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</si>
  <si>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</si>
  <si>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</si>
  <si>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</si>
  <si>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</si>
  <si>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</si>
  <si>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</si>
  <si>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</si>
  <si>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</si>
  <si>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</si>
  <si>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</si>
  <si>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</si>
  <si>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</si>
  <si>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</si>
  <si>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</si>
  <si>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</si>
  <si>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</si>
  <si>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</si>
  <si>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</si>
  <si>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</si>
  <si>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</si>
  <si>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</si>
  <si>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</si>
  <si>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</si>
  <si>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</si>
  <si>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</si>
  <si>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</si>
  <si>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</si>
  <si>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</si>
  <si>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</si>
  <si>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</si>
  <si>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</si>
  <si>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</si>
  <si>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</si>
  <si>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</si>
  <si>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</si>
  <si>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</si>
  <si>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</si>
  <si>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</si>
  <si>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</si>
  <si>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</si>
  <si>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</si>
  <si>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</si>
  <si>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</si>
  <si>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</si>
  <si>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</si>
  <si>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</si>
  <si>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</si>
  <si>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</si>
  <si>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</si>
  <si>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</si>
  <si>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</si>
  <si>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</si>
  <si>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</si>
  <si>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</si>
  <si>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</si>
  <si>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</si>
  <si>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</si>
  <si>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</si>
  <si>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</si>
  <si>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</si>
  <si>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</si>
  <si>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</si>
  <si>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</si>
  <si>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</si>
  <si>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</si>
  <si>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</si>
  <si>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</si>
  <si>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</si>
  <si>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</si>
  <si>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</si>
  <si>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</si>
  <si>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</si>
  <si>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</si>
  <si>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</si>
  <si>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</si>
  <si>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</si>
  <si>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</si>
  <si>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</si>
  <si>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</si>
  <si>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</si>
  <si>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</si>
  <si>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</si>
  <si>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</si>
  <si>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</si>
  <si>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</si>
  <si>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</si>
  <si>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</si>
  <si>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</si>
  <si>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</si>
  <si>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</si>
  <si>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</si>
  <si>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</si>
  <si>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</si>
  <si>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</si>
  <si>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</si>
  <si>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</si>
  <si>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</si>
  <si>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</si>
  <si>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</si>
  <si>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</si>
  <si>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</si>
  <si>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</si>
  <si>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</si>
  <si>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</si>
  <si>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</si>
  <si>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</si>
  <si>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</si>
  <si>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</si>
  <si>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</si>
  <si>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</si>
  <si>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</si>
  <si>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</si>
  <si>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</si>
  <si>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</si>
  <si>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</si>
  <si>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</si>
  <si>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</si>
  <si>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</si>
  <si>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</si>
  <si>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</si>
  <si>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</si>
  <si>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</si>
  <si>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</si>
  <si>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</si>
  <si>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</si>
  <si>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</si>
  <si>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</si>
  <si>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</si>
  <si>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</si>
  <si>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</si>
  <si>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</si>
  <si>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</si>
  <si>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</si>
  <si>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</si>
  <si>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</si>
  <si>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</si>
  <si>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</si>
  <si>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</si>
  <si>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</si>
  <si>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</si>
  <si>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</si>
  <si>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</si>
  <si>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</si>
  <si>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</si>
  <si>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</si>
  <si>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</si>
  <si>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</si>
  <si>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</si>
  <si>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</si>
  <si>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</si>
  <si>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</si>
  <si>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</si>
  <si>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</si>
  <si>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</si>
  <si>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</si>
  <si>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</si>
  <si>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</si>
  <si>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</si>
  <si>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</si>
  <si>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</si>
  <si>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</si>
  <si>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</si>
  <si>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</si>
  <si>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</si>
  <si>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</si>
  <si>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</si>
  <si>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</si>
  <si>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</si>
  <si>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</si>
  <si>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</si>
  <si>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</si>
  <si>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</si>
  <si>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</si>
  <si>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</si>
  <si>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</si>
  <si>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</si>
  <si>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</si>
  <si>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</si>
  <si>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</si>
  <si>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</si>
  <si>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</si>
  <si>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</si>
  <si>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</si>
  <si>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</si>
  <si>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</si>
  <si>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</si>
  <si>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</si>
  <si>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</si>
  <si>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</si>
  <si>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</si>
  <si>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</si>
  <si>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</si>
  <si>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</si>
  <si>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</si>
  <si>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</si>
  <si>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</si>
  <si>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</si>
  <si>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</si>
  <si>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</si>
  <si>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</si>
  <si>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</si>
  <si>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</si>
  <si>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</si>
  <si>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</si>
  <si>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</si>
  <si>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</si>
  <si>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</si>
  <si>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</si>
  <si>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</si>
  <si>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</si>
  <si>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</si>
  <si>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</si>
  <si>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</si>
  <si>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</si>
  <si>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</si>
  <si>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</si>
  <si>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</si>
  <si>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</si>
  <si>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</si>
  <si>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</si>
  <si>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</si>
  <si>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</si>
  <si>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</si>
  <si>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</si>
  <si>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</si>
  <si>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</si>
  <si>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</si>
  <si>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</si>
  <si>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</si>
  <si>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</si>
  <si>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</si>
  <si>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</si>
  <si>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</si>
  <si>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</si>
  <si>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</si>
  <si>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</si>
  <si>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</si>
  <si>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</si>
  <si>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</si>
  <si>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</si>
  <si>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</si>
  <si>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</si>
  <si>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</si>
  <si>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</si>
  <si>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</si>
  <si>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</si>
  <si>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</si>
  <si>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</si>
  <si>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</si>
  <si>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</si>
  <si>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</si>
  <si>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</si>
  <si>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</si>
  <si>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</si>
  <si>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</si>
  <si>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</si>
  <si>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</si>
  <si>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</si>
  <si>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</si>
  <si>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</si>
  <si>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</si>
  <si>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</si>
  <si>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</si>
  <si>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</si>
  <si>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</si>
  <si>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</si>
  <si>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</si>
  <si>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</si>
  <si>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</si>
  <si>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</si>
  <si>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</si>
  <si>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</si>
  <si>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</si>
  <si>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</si>
  <si>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</si>
  <si>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</si>
  <si>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</si>
  <si>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</si>
  <si>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</si>
  <si>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</si>
  <si>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</si>
  <si>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</si>
  <si>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</si>
  <si>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</si>
  <si>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</si>
  <si>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</si>
  <si>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</si>
  <si>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</si>
  <si>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</si>
  <si>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</si>
  <si>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</si>
  <si>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</si>
  <si>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</si>
  <si>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</si>
  <si>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</si>
  <si>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</si>
  <si>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</si>
  <si>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</si>
  <si>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</si>
  <si>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</si>
  <si>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</si>
  <si>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</si>
  <si>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</si>
  <si>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</si>
  <si>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</si>
  <si>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</si>
  <si>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</si>
  <si>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</si>
  <si>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</si>
  <si>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</si>
  <si>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</si>
  <si>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</si>
  <si>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</si>
  <si>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</si>
  <si>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</si>
  <si>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</si>
  <si>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</si>
  <si>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</si>
  <si>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</si>
  <si>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</si>
  <si>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</si>
  <si>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</si>
  <si>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</si>
  <si>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</si>
  <si>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</si>
  <si>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</si>
  <si>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</si>
  <si>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</si>
  <si>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</si>
  <si>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</si>
  <si>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</si>
  <si>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</si>
  <si>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</si>
  <si>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</si>
  <si>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</si>
  <si>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</si>
  <si>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</si>
  <si>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</si>
  <si>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</si>
  <si>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</si>
  <si>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</si>
  <si>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</si>
  <si>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</si>
  <si>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</si>
  <si>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</si>
  <si>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</si>
  <si>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</si>
  <si>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</si>
  <si>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</si>
  <si>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</si>
  <si>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</si>
  <si>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</si>
  <si>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</si>
  <si>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</si>
  <si>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</si>
  <si>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</si>
  <si>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</si>
  <si>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</si>
  <si>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</si>
  <si>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</si>
  <si>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</si>
  <si>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</si>
  <si>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</si>
  <si>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</si>
  <si>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</si>
  <si>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</si>
  <si>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</si>
  <si>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</si>
  <si>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</si>
  <si>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</si>
  <si>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</si>
  <si>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</si>
  <si>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</si>
  <si>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</si>
  <si>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</si>
  <si>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</si>
  <si>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</si>
  <si>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</si>
  <si>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</si>
  <si>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</si>
  <si>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</si>
  <si>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</si>
  <si>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</si>
  <si>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</si>
  <si>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</si>
  <si>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</si>
  <si>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</si>
  <si>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</si>
  <si>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</si>
  <si>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</si>
  <si>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</si>
  <si>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</si>
  <si>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</si>
  <si>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</si>
  <si>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</si>
  <si>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</si>
  <si>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</si>
  <si>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</si>
  <si>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</si>
  <si>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</si>
  <si>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</si>
  <si>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</si>
  <si>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</si>
  <si>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</si>
  <si>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</si>
  <si>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</si>
  <si>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</si>
  <si>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</si>
  <si>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</si>
  <si>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</si>
  <si>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</si>
  <si>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</si>
  <si>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</si>
  <si>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</si>
  <si>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</si>
  <si>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</si>
  <si>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</si>
  <si>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</si>
  <si>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</si>
  <si>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</si>
  <si>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</si>
  <si>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</si>
  <si>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</si>
  <si>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</si>
  <si>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</si>
  <si>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</si>
  <si>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</si>
  <si>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</si>
  <si>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</si>
  <si>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</si>
  <si>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</si>
  <si>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</si>
  <si>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</si>
  <si>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</si>
  <si>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</si>
  <si>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</si>
  <si>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</si>
  <si>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</si>
  <si>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</si>
  <si>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</si>
  <si>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</si>
  <si>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</si>
  <si>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</si>
  <si>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</si>
  <si>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</si>
  <si>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</si>
  <si>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</si>
  <si>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</si>
  <si>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</si>
  <si>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</si>
  <si>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</si>
  <si>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</si>
  <si>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</si>
  <si>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</si>
  <si>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</si>
  <si>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</si>
  <si>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</si>
  <si>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</si>
  <si>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</si>
  <si>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</si>
  <si>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</si>
  <si>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</si>
  <si>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</si>
  <si>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</si>
  <si>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</si>
  <si>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</si>
  <si>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</si>
  <si>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</si>
  <si>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</si>
  <si>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</si>
  <si>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</si>
  <si>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</si>
  <si>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</si>
  <si>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</si>
  <si>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</si>
  <si>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</si>
  <si>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</si>
  <si>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</si>
  <si>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</si>
  <si>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</si>
  <si>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</si>
  <si>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</si>
  <si>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</si>
  <si>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</si>
  <si>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</si>
  <si>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</si>
  <si>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</si>
  <si>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</si>
  <si>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</si>
  <si>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</si>
  <si>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</si>
  <si>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</si>
  <si>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</si>
  <si>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</si>
  <si>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</si>
  <si>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</si>
  <si>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</si>
  <si>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</si>
  <si>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</si>
  <si>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</si>
  <si>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</si>
  <si>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</si>
  <si>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</si>
  <si>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</si>
  <si>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</si>
  <si>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</si>
  <si>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</si>
  <si>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</si>
  <si>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</si>
  <si>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</si>
  <si>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</si>
  <si>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</si>
  <si>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</si>
  <si>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</si>
  <si>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</si>
  <si>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</si>
  <si>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</si>
  <si>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</si>
  <si>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</si>
  <si>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</si>
  <si>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</si>
  <si>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</si>
  <si>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</si>
  <si>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</si>
  <si>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</si>
  <si>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</si>
  <si>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</si>
  <si>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</si>
  <si>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</si>
  <si>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</si>
  <si>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</si>
  <si>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</si>
  <si>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</si>
  <si>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</si>
  <si>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</si>
  <si>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</si>
  <si>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</si>
  <si>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</si>
  <si>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</si>
  <si>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</si>
  <si>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</si>
  <si>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</si>
  <si>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</si>
  <si>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</si>
  <si>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</si>
  <si>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</si>
  <si>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</si>
  <si>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</si>
  <si>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</si>
  <si>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</si>
  <si>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</si>
  <si>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</si>
  <si>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</si>
  <si>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</si>
  <si>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</si>
  <si>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</si>
  <si>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</si>
  <si>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</si>
  <si>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</si>
  <si>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</si>
  <si>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</si>
  <si>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</si>
  <si>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</si>
  <si>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</si>
  <si>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</si>
  <si>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</si>
  <si>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</si>
  <si>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</si>
  <si>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</si>
  <si>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</si>
  <si>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</si>
  <si>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</si>
  <si>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</si>
  <si>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</si>
  <si>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</si>
  <si>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</si>
  <si>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</si>
  <si>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</si>
  <si>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</si>
  <si>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</si>
  <si>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</si>
  <si>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</si>
  <si>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</si>
  <si>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</si>
  <si>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</si>
  <si>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</si>
  <si>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</si>
  <si>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</si>
  <si>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</si>
  <si>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</si>
  <si>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</si>
  <si>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</si>
  <si>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</si>
  <si>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</si>
  <si>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</si>
  <si>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</si>
  <si>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</si>
  <si>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</si>
  <si>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</si>
  <si>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</si>
  <si>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</si>
  <si>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</si>
  <si>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</si>
  <si>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</si>
  <si>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</si>
  <si>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</si>
  <si>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</si>
  <si>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</si>
  <si>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</si>
  <si>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</si>
  <si>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</si>
  <si>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</si>
  <si>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</si>
  <si>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</si>
  <si>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</si>
  <si>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</si>
  <si>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</si>
  <si>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</si>
  <si>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</si>
  <si>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</si>
  <si>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</si>
  <si>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</si>
  <si>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</si>
  <si>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</si>
  <si>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</si>
  <si>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</si>
  <si>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</si>
  <si>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</si>
  <si>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</si>
  <si>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</si>
  <si>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</si>
  <si>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</si>
  <si>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</si>
  <si>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</si>
  <si>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</si>
  <si>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</si>
  <si>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</si>
  <si>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</si>
  <si>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</si>
  <si>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</si>
  <si>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</si>
  <si>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</si>
  <si>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</si>
  <si>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</si>
  <si>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</si>
  <si>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</si>
  <si>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</si>
  <si>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</si>
  <si>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</si>
  <si>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</si>
  <si>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</si>
  <si>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</si>
  <si>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</si>
  <si>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</si>
  <si>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</si>
  <si>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</si>
  <si>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</si>
  <si>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</si>
  <si>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</si>
  <si>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</si>
  <si>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</si>
  <si>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</si>
  <si>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</si>
  <si>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</si>
  <si>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</si>
  <si>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</si>
  <si>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</si>
  <si>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</si>
  <si>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</si>
  <si>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</si>
  <si>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</si>
  <si>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</si>
  <si>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</si>
  <si>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</si>
  <si>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</si>
  <si>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</si>
  <si>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</si>
  <si>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</si>
  <si>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</si>
  <si>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</si>
  <si>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</si>
  <si>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</si>
  <si>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</si>
  <si>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</si>
  <si>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</si>
  <si>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</si>
  <si>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</si>
  <si>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</si>
  <si>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</si>
  <si>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</si>
  <si>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</si>
  <si>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</si>
  <si>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</si>
  <si>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</si>
  <si>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</si>
  <si>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</si>
  <si>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</si>
  <si>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</si>
  <si>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</si>
  <si>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</si>
  <si>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</si>
  <si>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</si>
  <si>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</si>
  <si>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</si>
  <si>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</si>
  <si>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</si>
  <si>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</si>
  <si>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</si>
  <si>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</si>
  <si>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</si>
  <si>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</si>
  <si>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</si>
  <si>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</si>
  <si>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</si>
  <si>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</si>
  <si>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</si>
  <si>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</si>
  <si>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</si>
  <si>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</si>
  <si>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</si>
  <si>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</si>
  <si>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</si>
  <si>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</si>
  <si>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</si>
  <si>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</si>
  <si>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</si>
  <si>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</si>
  <si>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</si>
  <si>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</si>
  <si>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</si>
  <si>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</si>
  <si>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</si>
  <si>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</si>
  <si>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</si>
  <si>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</si>
  <si>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</si>
  <si>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</si>
  <si>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</si>
  <si>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</si>
  <si>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</si>
  <si>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</si>
  <si>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</si>
  <si>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</si>
  <si>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</si>
  <si>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</si>
  <si>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</si>
  <si>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</si>
  <si>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</si>
  <si>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</si>
  <si>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</si>
  <si>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</si>
  <si>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</si>
  <si>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</si>
  <si>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</si>
  <si>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</si>
  <si>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</si>
  <si>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</si>
  <si>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</si>
  <si>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</si>
  <si>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</si>
  <si>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</si>
  <si>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</si>
  <si>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</si>
  <si>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</si>
  <si>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</si>
  <si>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</si>
  <si>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</si>
  <si>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</si>
  <si>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</si>
  <si>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</si>
  <si>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</si>
  <si>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</si>
  <si>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</si>
  <si>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</si>
  <si>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</si>
  <si>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</si>
  <si>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</si>
  <si>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</si>
  <si>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</si>
  <si>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</si>
  <si>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</si>
  <si>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</si>
  <si>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</si>
  <si>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</si>
  <si>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</si>
  <si>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</si>
  <si>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</si>
  <si>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</si>
  <si>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</si>
  <si>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</si>
  <si>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</si>
  <si>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</si>
  <si>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</si>
  <si>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</si>
  <si>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</si>
  <si>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</si>
  <si>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</si>
  <si>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</si>
  <si>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</si>
  <si>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</si>
  <si>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</si>
  <si>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</si>
  <si>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</si>
  <si>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</si>
  <si>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</si>
  <si>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</si>
  <si>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</si>
  <si>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</si>
  <si>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</si>
  <si>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</si>
  <si>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</si>
  <si>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</si>
  <si>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</si>
  <si>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</si>
  <si>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</si>
  <si>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</si>
  <si>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</si>
  <si>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</si>
  <si>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</si>
  <si>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</si>
  <si>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</si>
  <si>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</si>
  <si>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</si>
  <si>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</si>
  <si>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</si>
  <si>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</si>
  <si>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</si>
  <si>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</si>
  <si>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</si>
  <si>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</si>
  <si>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</si>
  <si>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</si>
  <si>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</si>
  <si>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</si>
  <si>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</si>
  <si>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</si>
  <si>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</si>
  <si>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</si>
  <si>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</si>
  <si>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</si>
  <si>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</si>
  <si>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</si>
  <si>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</si>
  <si>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</si>
  <si>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</si>
  <si>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</si>
  <si>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</si>
  <si>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</si>
  <si>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</si>
  <si>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</si>
  <si>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</si>
  <si>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</si>
  <si>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</si>
  <si>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</si>
  <si>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</si>
  <si>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</si>
  <si>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</si>
  <si>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</si>
  <si>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</si>
  <si>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</si>
  <si>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</si>
  <si>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</si>
  <si>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</si>
  <si>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</si>
  <si>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</si>
  <si>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</si>
  <si>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</si>
  <si>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</si>
  <si>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</si>
  <si>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</si>
  <si>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</si>
  <si>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</si>
  <si>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</si>
  <si>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</si>
  <si>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</si>
  <si>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</si>
  <si>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</si>
  <si>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</si>
  <si>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</si>
  <si>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</si>
  <si>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</si>
  <si>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</si>
  <si>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</si>
  <si>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</si>
  <si>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</si>
  <si>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</si>
  <si>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</si>
  <si>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</si>
  <si>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</si>
  <si>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</si>
  <si>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</si>
  <si>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</si>
  <si>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</si>
  <si>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</si>
  <si>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</si>
  <si>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</si>
  <si>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</si>
  <si>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</si>
  <si>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</si>
  <si>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</si>
  <si>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</si>
  <si>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</si>
  <si>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</si>
  <si>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</si>
  <si>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</si>
  <si>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</si>
  <si>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</si>
  <si>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</si>
  <si>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</si>
  <si>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</si>
  <si>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</si>
  <si>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</si>
  <si>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</si>
  <si>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</si>
  <si>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</si>
  <si>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</si>
  <si>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</si>
  <si>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</si>
  <si>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</si>
  <si>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</si>
  <si>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</si>
  <si>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</si>
  <si>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</si>
  <si>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</si>
  <si>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</si>
  <si>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</si>
  <si>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</si>
  <si>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</si>
  <si>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</si>
  <si>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</si>
  <si>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</si>
  <si>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</si>
  <si>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</si>
  <si>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</si>
  <si>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</si>
  <si>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</si>
  <si>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</si>
  <si>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</si>
  <si>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</si>
  <si>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</si>
  <si>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</si>
  <si>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</si>
  <si>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</si>
  <si>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</si>
  <si>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</si>
  <si>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</si>
  <si>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</si>
  <si>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</si>
  <si>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</si>
  <si>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</si>
  <si>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</si>
  <si>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</si>
  <si>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</si>
  <si>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</si>
  <si>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</si>
  <si>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</si>
  <si>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</si>
  <si>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</si>
  <si>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</si>
  <si>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</si>
  <si>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</si>
  <si>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</si>
  <si>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</si>
  <si>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</si>
  <si>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</si>
  <si>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</si>
  <si>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</si>
  <si>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</si>
  <si>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</si>
  <si>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</si>
  <si>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</si>
  <si>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</si>
  <si>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</si>
  <si>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</si>
  <si>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</si>
  <si>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</si>
  <si>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</si>
  <si>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</si>
  <si>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</si>
  <si>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</si>
  <si>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</si>
  <si>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</si>
  <si>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</si>
  <si>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</si>
  <si>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</si>
  <si>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</si>
  <si>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</si>
  <si>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</si>
  <si>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</si>
  <si>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</si>
  <si>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</si>
  <si>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</si>
  <si>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</si>
  <si>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</si>
  <si>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</si>
  <si>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</si>
  <si>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</si>
  <si>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</si>
  <si>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</si>
  <si>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</si>
  <si>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</si>
  <si>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</si>
  <si>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</si>
  <si>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</si>
  <si>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</si>
  <si>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</si>
  <si>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</si>
  <si>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</si>
  <si>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</si>
  <si>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</si>
  <si>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</si>
  <si>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</si>
  <si>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</si>
  <si>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</si>
  <si>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</si>
  <si>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</si>
  <si>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</si>
  <si>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</si>
  <si>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</si>
  <si>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</si>
  <si>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</si>
  <si>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</si>
  <si>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</si>
  <si>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</si>
  <si>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</si>
  <si>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</si>
  <si>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</si>
  <si>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</si>
  <si>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</si>
  <si>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</si>
  <si>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</si>
  <si>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</si>
  <si>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</si>
  <si>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</si>
  <si>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</si>
  <si>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</si>
  <si>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</si>
  <si>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</si>
  <si>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</si>
  <si>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</si>
  <si>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</si>
  <si>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</si>
  <si>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</si>
  <si>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</si>
  <si>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</si>
  <si>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</si>
  <si>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</si>
  <si>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</si>
  <si>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</si>
  <si>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</si>
  <si>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</si>
  <si>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</si>
  <si>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</si>
  <si>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</si>
  <si>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</si>
  <si>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</si>
  <si>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</si>
  <si>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</si>
  <si>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</si>
  <si>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</si>
  <si>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</si>
  <si>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</si>
  <si>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</si>
  <si>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</si>
  <si>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</si>
  <si>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</si>
  <si>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</si>
  <si>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</si>
  <si>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</si>
  <si>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</si>
  <si>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</si>
  <si>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</si>
  <si>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</si>
  <si>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</si>
  <si>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</si>
  <si>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</si>
  <si>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</si>
  <si>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</si>
  <si>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</si>
  <si>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</si>
  <si>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</si>
  <si>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</si>
  <si>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</si>
  <si>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</si>
  <si>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</si>
  <si>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</si>
  <si>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</si>
  <si>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</si>
  <si>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</si>
  <si>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</si>
  <si>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</si>
  <si>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</si>
  <si>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</si>
  <si>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</si>
  <si>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</si>
  <si>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</si>
  <si>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</si>
  <si>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</si>
  <si>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</si>
  <si>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</si>
  <si>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</si>
  <si>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</si>
  <si>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</si>
  <si>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</si>
  <si>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</si>
  <si>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</si>
  <si>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</si>
  <si>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</si>
  <si>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</si>
  <si>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</si>
  <si>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</si>
  <si>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</si>
  <si>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</si>
  <si>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</si>
  <si>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</si>
  <si>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</si>
  <si>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</si>
  <si>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</si>
  <si>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</si>
  <si>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</si>
  <si>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</si>
  <si>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</si>
  <si>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</si>
  <si>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</si>
  <si>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</si>
  <si>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</si>
  <si>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</si>
  <si>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</si>
  <si>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</si>
  <si>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</si>
  <si>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</si>
  <si>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</si>
  <si>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</si>
  <si>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</si>
  <si>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</si>
  <si>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</si>
  <si>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</si>
  <si>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</si>
  <si>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</si>
  <si>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</si>
  <si>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</si>
  <si>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</si>
  <si>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</si>
  <si>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</si>
  <si>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</si>
  <si>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</si>
  <si>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</si>
  <si>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</si>
  <si>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</si>
  <si>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</si>
  <si>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</si>
  <si>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</si>
  <si>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</si>
  <si>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</si>
  <si>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</si>
  <si>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</si>
  <si>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</si>
  <si>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</si>
  <si>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</si>
  <si>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</si>
  <si>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</si>
  <si>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</si>
  <si>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</si>
  <si>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</si>
  <si>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</si>
  <si>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</si>
  <si>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</si>
  <si>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</si>
  <si>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</si>
  <si>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</si>
  <si>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</si>
  <si>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</si>
  <si>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</si>
  <si>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</si>
  <si>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</si>
  <si>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</si>
  <si>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</si>
  <si>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</si>
  <si>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</si>
  <si>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</si>
  <si>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</si>
  <si>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</si>
  <si>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</si>
  <si>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</si>
  <si>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</si>
  <si>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</si>
  <si>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</si>
  <si>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</si>
  <si>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</si>
  <si>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</si>
  <si>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</si>
  <si>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</si>
  <si>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</si>
  <si>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</si>
  <si>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</si>
  <si>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</si>
  <si>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</si>
  <si>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</si>
  <si>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</si>
  <si>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</si>
  <si>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</si>
  <si>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</si>
  <si>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</si>
  <si>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</si>
  <si>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</si>
  <si>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</si>
  <si>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</si>
  <si>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</si>
  <si>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</si>
  <si>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</si>
  <si>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</si>
  <si>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</si>
  <si>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</si>
  <si>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</si>
  <si>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</si>
  <si>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</si>
  <si>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</si>
  <si>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</si>
  <si>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</si>
  <si>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</si>
  <si>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</si>
  <si>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</si>
  <si>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</si>
  <si>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</si>
  <si>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</si>
  <si>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</si>
  <si>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</si>
  <si>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</si>
  <si>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</si>
  <si>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</si>
  <si>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</si>
  <si>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</si>
  <si>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</si>
  <si>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</si>
  <si>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</si>
  <si>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</si>
  <si>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</si>
  <si>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</si>
  <si>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</si>
  <si>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</si>
  <si>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</si>
  <si>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</si>
  <si>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</si>
  <si>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</si>
  <si>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</si>
  <si>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</si>
  <si>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</si>
  <si>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</si>
  <si>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</si>
  <si>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</si>
  <si>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</si>
  <si>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</si>
  <si>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</si>
  <si>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</si>
  <si>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</si>
  <si>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</si>
  <si>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</si>
  <si>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</si>
  <si>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</si>
  <si>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</si>
  <si>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</si>
  <si>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</si>
  <si>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</si>
  <si>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</si>
  <si>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</si>
  <si>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</si>
  <si>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</si>
  <si>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</si>
  <si>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</si>
  <si>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</si>
  <si>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</si>
  <si>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</si>
  <si>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</si>
  <si>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</si>
  <si>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</si>
  <si>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</si>
  <si>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</si>
  <si>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</si>
  <si>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</si>
  <si>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</si>
  <si>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</si>
  <si>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</si>
  <si>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</si>
  <si>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</si>
  <si>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</si>
  <si>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</si>
  <si>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</si>
  <si>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</si>
  <si>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</si>
  <si>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</si>
  <si>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</si>
  <si>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</si>
  <si>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</si>
  <si>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</si>
  <si>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</si>
  <si>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</si>
  <si>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</si>
  <si>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</si>
  <si>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</si>
  <si>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</si>
  <si>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</si>
  <si>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</si>
  <si>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</si>
  <si>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</si>
  <si>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</si>
  <si>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</si>
  <si>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</si>
  <si>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</si>
  <si>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</si>
  <si>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</si>
  <si>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</si>
  <si>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</si>
  <si>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</si>
  <si>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</si>
  <si>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</si>
  <si>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</si>
  <si>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</si>
  <si>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</si>
  <si>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</si>
  <si>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</si>
  <si>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</si>
  <si>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</si>
  <si>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</si>
  <si>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</si>
  <si>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</si>
  <si>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</si>
  <si>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</si>
  <si>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</si>
  <si>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</si>
  <si>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</si>
  <si>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</si>
  <si>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</si>
  <si>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</si>
  <si>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</si>
  <si>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</si>
  <si>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</si>
  <si>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</si>
  <si>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</si>
  <si>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</si>
  <si>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</si>
  <si>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</si>
  <si>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</si>
  <si>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</si>
  <si>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</si>
  <si>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</si>
  <si>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</si>
  <si>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</si>
  <si>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</si>
  <si>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</si>
  <si>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</si>
  <si>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</si>
  <si>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</si>
  <si>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</si>
  <si>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</si>
  <si>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</si>
  <si>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</si>
  <si>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</si>
  <si>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</si>
  <si>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</si>
  <si>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</si>
  <si>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</si>
  <si>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</si>
  <si>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</si>
  <si>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</si>
  <si>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</si>
  <si>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</si>
  <si>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</si>
  <si>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</si>
  <si>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</si>
  <si>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</si>
  <si>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</si>
  <si>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</si>
  <si>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</si>
  <si>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</si>
  <si>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</si>
  <si>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</si>
  <si>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</si>
  <si>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</si>
  <si>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</si>
  <si>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</si>
  <si>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</si>
  <si>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</si>
  <si>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</si>
  <si>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</si>
  <si>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</si>
  <si>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</si>
  <si>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</si>
  <si>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</si>
  <si>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</si>
  <si>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</si>
  <si>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</si>
  <si>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</si>
  <si>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</si>
  <si>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</si>
  <si>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</si>
  <si>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</si>
  <si>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</si>
  <si>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</si>
  <si>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</si>
  <si>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</si>
  <si>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</si>
  <si>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</si>
  <si>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</si>
  <si>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</si>
  <si>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</si>
  <si>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</si>
  <si>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</si>
  <si>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</si>
  <si>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</si>
  <si>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</si>
  <si>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</si>
  <si>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</si>
  <si>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</si>
  <si>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</si>
  <si>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</si>
  <si>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</si>
  <si>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</si>
  <si>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</si>
  <si>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</si>
  <si>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</si>
  <si>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</si>
  <si>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</si>
  <si>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</si>
  <si>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</si>
  <si>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</si>
  <si>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</si>
  <si>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</si>
  <si>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</si>
  <si>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</si>
  <si>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</si>
  <si>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</si>
  <si>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</si>
  <si>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</si>
  <si>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</si>
  <si>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</si>
  <si>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</si>
  <si>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</si>
  <si>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</si>
  <si>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</si>
  <si>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</si>
  <si>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</si>
  <si>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</si>
  <si>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</si>
  <si>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</si>
  <si>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</si>
  <si>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</si>
  <si>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</si>
  <si>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</si>
  <si>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</si>
  <si>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</si>
  <si>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</si>
  <si>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</si>
  <si>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</si>
  <si>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</si>
  <si>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</si>
  <si>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</si>
  <si>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</si>
  <si>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</si>
  <si>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</si>
  <si>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</si>
  <si>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</si>
  <si>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</si>
  <si>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</si>
  <si>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</si>
  <si>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</si>
  <si>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</si>
  <si>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</si>
  <si>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</si>
  <si>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</si>
  <si>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</si>
  <si>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</si>
  <si>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</si>
  <si>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</si>
  <si>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</si>
  <si>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</si>
  <si>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</si>
  <si>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</si>
  <si>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</si>
  <si>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</si>
  <si>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</si>
  <si>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</si>
  <si>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</si>
  <si>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</si>
  <si>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</si>
  <si>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</si>
  <si>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</si>
  <si>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</si>
  <si>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</si>
  <si>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</si>
  <si>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</si>
  <si>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</si>
  <si>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</si>
  <si>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</si>
  <si>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</si>
  <si>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</si>
  <si>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</si>
  <si>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</si>
  <si>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</si>
  <si>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</si>
  <si>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</si>
  <si>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</si>
  <si>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</si>
  <si>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</si>
  <si>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</si>
  <si>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</si>
  <si>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</si>
  <si>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</si>
  <si>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</si>
  <si>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</si>
  <si>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</si>
  <si>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</si>
  <si>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</si>
  <si>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</si>
  <si>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</si>
  <si>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</si>
  <si>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</si>
  <si>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</si>
  <si>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</si>
  <si>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</si>
  <si>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</si>
  <si>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</si>
  <si>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</si>
  <si>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</si>
  <si>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</si>
  <si>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</si>
  <si>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</si>
  <si>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</si>
  <si>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</si>
  <si>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</si>
  <si>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</si>
  <si>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</si>
  <si>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</si>
  <si>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</si>
  <si>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</si>
  <si>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</si>
  <si>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</si>
  <si>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</si>
  <si>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</si>
  <si>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</si>
  <si>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</si>
  <si>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</si>
  <si>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</si>
  <si>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</si>
  <si>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</si>
  <si>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</si>
  <si>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</si>
  <si>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</si>
  <si>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</si>
  <si>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</si>
  <si>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</si>
  <si>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</si>
  <si>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</si>
  <si>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</si>
  <si>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</si>
  <si>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</si>
  <si>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</si>
  <si>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</si>
  <si>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</si>
  <si>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</si>
  <si>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</si>
  <si>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</si>
  <si>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</si>
  <si>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</si>
  <si>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</si>
  <si>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</si>
  <si>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</si>
  <si>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</si>
  <si>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</si>
  <si>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</si>
  <si>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</si>
  <si>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</si>
  <si>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</si>
  <si>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</si>
  <si>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</si>
  <si>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</si>
  <si>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</si>
  <si>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</si>
  <si>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</si>
  <si>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</si>
  <si>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</si>
  <si>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</si>
  <si>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</si>
  <si>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</si>
  <si>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</si>
  <si>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</si>
  <si>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</si>
  <si>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</si>
  <si>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</si>
  <si>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</si>
  <si>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</si>
  <si>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</si>
  <si>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</si>
  <si>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</si>
  <si>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</si>
  <si>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</si>
  <si>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</si>
  <si>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</si>
  <si>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</si>
  <si>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</si>
  <si>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</si>
  <si>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</si>
  <si>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</si>
  <si>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</si>
  <si>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</si>
  <si>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</si>
  <si>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</si>
  <si>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</si>
  <si>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</si>
  <si>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</si>
  <si>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</si>
  <si>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</si>
  <si>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</si>
  <si>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</si>
  <si>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</si>
  <si>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</si>
  <si>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</si>
  <si>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</si>
  <si>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</si>
  <si>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</si>
  <si>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</si>
  <si>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</si>
  <si>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</si>
  <si>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</si>
  <si>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</si>
  <si>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</si>
  <si>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</si>
  <si>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</si>
  <si>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</si>
  <si>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</si>
  <si>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</si>
  <si>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</si>
  <si>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</si>
  <si>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</si>
  <si>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</si>
  <si>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</si>
  <si>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</si>
  <si>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</si>
  <si>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</si>
  <si>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</si>
  <si>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</si>
  <si>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</si>
  <si>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</si>
  <si>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</si>
  <si>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</si>
  <si>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</si>
  <si>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</si>
  <si>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</si>
  <si>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</si>
  <si>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</si>
  <si>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</si>
  <si>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</si>
  <si>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</si>
  <si>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</si>
  <si>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</si>
  <si>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</si>
  <si>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</si>
  <si>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</si>
  <si>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</si>
  <si>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</si>
  <si>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</si>
  <si>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</si>
  <si>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</si>
  <si>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</si>
  <si>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</si>
  <si>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</si>
  <si>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</si>
  <si>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</si>
  <si>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</si>
  <si>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</si>
  <si>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</si>
  <si>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</si>
  <si>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</si>
  <si>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</si>
  <si>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</si>
  <si>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</si>
  <si>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</si>
  <si>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</si>
  <si>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</si>
  <si>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</si>
  <si>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</si>
  <si>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</si>
  <si>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</si>
  <si>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</si>
  <si>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</si>
  <si>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</si>
  <si>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</si>
  <si>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</si>
  <si>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</si>
  <si>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</si>
  <si>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</si>
  <si>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</si>
  <si>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</si>
  <si>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</si>
  <si>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</si>
  <si>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</si>
  <si>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</si>
  <si>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</si>
  <si>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</si>
  <si>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</si>
  <si>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</si>
  <si>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</si>
  <si>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</si>
  <si>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</si>
  <si>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</si>
  <si>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</si>
  <si>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</si>
  <si>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</si>
  <si>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</si>
  <si>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</si>
  <si>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</si>
  <si>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</si>
  <si>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</si>
  <si>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</si>
  <si>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</si>
  <si>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</si>
  <si>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</si>
  <si>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</si>
  <si>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</si>
  <si>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</si>
  <si>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</si>
  <si>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</si>
  <si>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</si>
  <si>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</si>
  <si>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</si>
  <si>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</si>
  <si>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</si>
  <si>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</si>
  <si>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</si>
  <si>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</si>
  <si>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</si>
  <si>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</si>
  <si>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</si>
  <si>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</si>
  <si>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</si>
  <si>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</si>
  <si>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</si>
  <si>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</si>
  <si>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</si>
  <si>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</si>
  <si>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</si>
  <si>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</si>
  <si>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</si>
  <si>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</si>
  <si>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</si>
  <si>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</si>
  <si>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</si>
  <si>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</si>
  <si>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</si>
  <si>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</si>
  <si>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</si>
  <si>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</si>
  <si>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</si>
  <si>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</si>
  <si>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</si>
  <si>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</si>
  <si>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</si>
  <si>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</si>
  <si>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</si>
  <si>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</si>
  <si>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</si>
  <si>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</si>
  <si>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</si>
  <si>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</si>
  <si>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</si>
  <si>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</si>
  <si>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</si>
  <si>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</si>
  <si>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</si>
  <si>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</si>
  <si>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</si>
  <si>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</si>
  <si>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</si>
  <si>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</si>
  <si>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</si>
  <si>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</si>
  <si>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</si>
  <si>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</si>
  <si>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</si>
  <si>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</si>
  <si>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</si>
  <si>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</si>
  <si>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</si>
  <si>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</si>
  <si>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</si>
  <si>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</si>
  <si>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</si>
  <si>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</si>
  <si>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</si>
  <si>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</si>
  <si>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</si>
  <si>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</si>
  <si>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</si>
  <si>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</si>
  <si>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</si>
  <si>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</si>
  <si>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</si>
  <si>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</si>
  <si>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</si>
  <si>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</si>
  <si>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</si>
  <si>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</si>
  <si>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</si>
  <si>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</si>
  <si>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</si>
  <si>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</si>
  <si>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</si>
  <si>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</si>
  <si>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</si>
  <si>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</si>
  <si>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</si>
  <si>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</si>
  <si>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</si>
  <si>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</si>
  <si>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</si>
  <si>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</si>
  <si>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</si>
  <si>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</si>
  <si>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</si>
  <si>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</si>
  <si>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</si>
  <si>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</si>
  <si>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</si>
  <si>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</si>
  <si>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</si>
  <si>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</si>
  <si>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</si>
  <si>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</si>
  <si>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</si>
  <si>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</si>
  <si>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</si>
  <si>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</si>
  <si>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</si>
  <si>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</si>
  <si>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</si>
  <si>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</si>
  <si>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</si>
  <si>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</si>
  <si>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</si>
  <si>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</si>
  <si>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</si>
  <si>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</si>
  <si>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</si>
  <si>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</si>
  <si>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</si>
  <si>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</si>
  <si>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</si>
  <si>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</si>
  <si>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</si>
  <si>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</si>
  <si>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</si>
  <si>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</si>
  <si>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</si>
  <si>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</si>
  <si>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</si>
  <si>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</si>
  <si>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</si>
  <si>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</si>
  <si>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</si>
  <si>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</si>
  <si>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</si>
  <si>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</si>
  <si>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</si>
  <si>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</si>
  <si>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</si>
  <si>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</si>
  <si>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</si>
  <si>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</si>
  <si>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</si>
  <si>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</si>
  <si>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</si>
  <si>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</si>
  <si>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</si>
  <si>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</si>
  <si>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</si>
  <si>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</si>
  <si>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</si>
  <si>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</si>
  <si>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</si>
  <si>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</si>
  <si>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</si>
  <si>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</si>
  <si>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</si>
  <si>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</si>
  <si>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</si>
  <si>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</si>
  <si>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</si>
  <si>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</si>
  <si>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</si>
  <si>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</si>
  <si>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</si>
  <si>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</si>
  <si>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</si>
  <si>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</si>
  <si>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</si>
  <si>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</si>
  <si>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</si>
  <si>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</si>
  <si>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</si>
  <si>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</si>
  <si>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</si>
  <si>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</si>
  <si>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</si>
  <si>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</si>
  <si>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</si>
  <si>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</si>
  <si>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</si>
  <si>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</si>
  <si>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</si>
  <si>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</si>
  <si>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</si>
  <si>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</si>
  <si>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</si>
  <si>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</si>
  <si>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</si>
  <si>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</si>
  <si>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</si>
  <si>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</si>
  <si>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</si>
  <si>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</si>
  <si>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</si>
  <si>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</si>
  <si>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</si>
  <si>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</si>
  <si>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</si>
  <si>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</si>
  <si>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</si>
  <si>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</si>
  <si>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</si>
  <si>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</si>
  <si>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</si>
  <si>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</si>
  <si>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</si>
  <si>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</si>
  <si>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</si>
  <si>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</si>
  <si>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</si>
  <si>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</si>
  <si>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</si>
  <si>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</si>
  <si>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</si>
  <si>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</si>
  <si>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</si>
  <si>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</si>
  <si>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</si>
  <si>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</si>
  <si>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</si>
  <si>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</si>
  <si>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</si>
  <si>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</si>
  <si>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</si>
  <si>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</si>
  <si>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</si>
  <si>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</si>
  <si>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</si>
  <si>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</si>
  <si>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</si>
  <si>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</si>
  <si>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</si>
  <si>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</si>
  <si>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</si>
  <si>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</si>
  <si>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</si>
  <si>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</si>
  <si>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</si>
  <si>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</si>
  <si>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</si>
  <si>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</si>
  <si>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</si>
  <si>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</si>
  <si>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</si>
  <si>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</si>
  <si>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</si>
  <si>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</si>
  <si>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</si>
  <si>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</si>
  <si>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</si>
  <si>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</si>
  <si>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</si>
  <si>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</si>
  <si>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</si>
  <si>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</si>
  <si>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</si>
  <si>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</si>
  <si>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</si>
  <si>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</si>
  <si>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</si>
  <si>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</si>
  <si>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</si>
  <si>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</si>
  <si>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</si>
  <si>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</si>
  <si>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</si>
  <si>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</si>
  <si>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</si>
  <si>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</si>
  <si>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</si>
  <si>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</si>
  <si>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</si>
  <si>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</si>
  <si>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</si>
  <si>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</si>
  <si>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</si>
  <si>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</si>
  <si>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</si>
  <si>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</si>
  <si>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</si>
  <si>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</si>
  <si>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</si>
  <si>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</si>
  <si>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</si>
  <si>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</si>
  <si>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</si>
  <si>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</si>
  <si>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</si>
  <si>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</si>
  <si>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</si>
  <si>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</si>
  <si>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</si>
  <si>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</si>
  <si>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</si>
  <si>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</si>
  <si>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</si>
  <si>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</si>
  <si>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</si>
  <si>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</si>
  <si>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</si>
  <si>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</si>
  <si>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</si>
  <si>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</si>
  <si>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</si>
  <si>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</si>
  <si>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</si>
  <si>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</si>
  <si>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</si>
  <si>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</si>
  <si>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</si>
  <si>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</si>
  <si>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</si>
  <si>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</si>
  <si>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</si>
  <si>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</si>
  <si>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</si>
  <si>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</si>
  <si>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</si>
  <si>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</si>
  <si>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</si>
  <si>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</si>
  <si>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</si>
  <si>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</si>
  <si>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</si>
  <si>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</si>
  <si>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</si>
  <si>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</si>
  <si>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</si>
  <si>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</si>
  <si>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</si>
  <si>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</si>
  <si>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</si>
  <si>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</si>
  <si>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</si>
  <si>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</si>
  <si>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</si>
  <si>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</si>
  <si>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</si>
  <si>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</si>
  <si>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</si>
  <si>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</si>
  <si>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</si>
  <si>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</si>
  <si>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</si>
  <si>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</si>
  <si>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</si>
  <si>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</si>
  <si>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</si>
  <si>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</si>
  <si>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</si>
  <si>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</si>
  <si>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</si>
  <si>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</si>
  <si>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</si>
  <si>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</si>
  <si>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</si>
  <si>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</si>
  <si>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</si>
  <si>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</si>
  <si>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</si>
  <si>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</si>
  <si>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</si>
  <si>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</si>
  <si>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</si>
  <si>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</si>
  <si>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</si>
  <si>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</si>
  <si>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</si>
  <si>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</si>
  <si>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</si>
  <si>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</si>
  <si>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</si>
  <si>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</si>
  <si>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</si>
  <si>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</si>
  <si>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</si>
  <si>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</si>
  <si>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</si>
  <si>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</si>
  <si>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</si>
  <si>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</si>
  <si>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</si>
  <si>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</si>
  <si>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</si>
  <si>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</si>
  <si>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</si>
  <si>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</si>
  <si>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</si>
  <si>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</si>
  <si>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</si>
  <si>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</si>
  <si>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</si>
  <si>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</si>
  <si>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</si>
  <si>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</si>
  <si>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</si>
  <si>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</si>
  <si>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</si>
  <si>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</si>
  <si>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</si>
  <si>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</si>
  <si>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</si>
  <si>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</si>
  <si>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</si>
  <si>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</si>
  <si>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</si>
  <si>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</si>
  <si>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</si>
  <si>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</si>
  <si>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</si>
  <si>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</si>
  <si>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</si>
  <si>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</si>
  <si>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</si>
  <si>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</si>
  <si>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</si>
  <si>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</si>
  <si>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</si>
  <si>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</si>
  <si>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</si>
  <si>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</si>
  <si>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</si>
  <si>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</si>
  <si>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</si>
  <si>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</si>
  <si>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</si>
  <si>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</si>
  <si>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</si>
  <si>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</si>
  <si>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</si>
  <si>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</si>
  <si>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</si>
  <si>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</si>
  <si>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</si>
  <si>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</si>
  <si>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</si>
  <si>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</si>
  <si>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</si>
  <si>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</si>
  <si>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</si>
  <si>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</si>
  <si>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</si>
  <si>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</si>
  <si>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</si>
  <si>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</si>
  <si>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</si>
  <si>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</si>
  <si>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</si>
  <si>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</si>
  <si>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</si>
  <si>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</si>
  <si>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</si>
  <si>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</si>
  <si>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</si>
  <si>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</si>
  <si>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</si>
  <si>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</si>
  <si>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</si>
  <si>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</si>
  <si>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</si>
  <si>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</si>
  <si>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</si>
  <si>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</si>
  <si>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</si>
  <si>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</si>
  <si>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</si>
  <si>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</si>
  <si>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</si>
  <si>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</si>
  <si>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</si>
  <si>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</si>
  <si>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</si>
  <si>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</si>
  <si>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</si>
  <si>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</si>
  <si>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</si>
  <si>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</si>
  <si>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</si>
  <si>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</si>
  <si>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</si>
  <si>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</si>
  <si>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</si>
  <si>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</si>
  <si>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</si>
  <si>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</si>
  <si>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</si>
  <si>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</si>
  <si>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</si>
  <si>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</si>
  <si>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</si>
  <si>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</si>
  <si>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</si>
  <si>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</si>
  <si>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</si>
  <si>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</si>
  <si>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</si>
  <si>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</si>
  <si>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</si>
  <si>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</si>
  <si>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</si>
  <si>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</si>
  <si>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</si>
  <si>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</si>
  <si>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</si>
  <si>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</si>
  <si>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</si>
  <si>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</si>
  <si>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</si>
  <si>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</si>
  <si>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</si>
  <si>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</si>
  <si>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</si>
  <si>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</si>
  <si>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</si>
  <si>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</si>
  <si>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</si>
  <si>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</si>
  <si>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</si>
  <si>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</si>
  <si>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</si>
  <si>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</si>
  <si>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</si>
  <si>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</si>
  <si>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</si>
  <si>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</si>
  <si>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</si>
  <si>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</si>
  <si>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</si>
  <si>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</si>
  <si>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</si>
  <si>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</si>
  <si>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</si>
  <si>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</si>
  <si>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</si>
  <si>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</si>
  <si>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</si>
  <si>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</si>
  <si>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</si>
  <si>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</si>
  <si>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</si>
  <si>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</si>
  <si>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</si>
  <si>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</si>
  <si>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</si>
  <si>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</si>
  <si>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</si>
  <si>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</si>
  <si>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</si>
  <si>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</si>
  <si>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</si>
  <si>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</si>
  <si>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</si>
  <si>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</si>
  <si>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</si>
  <si>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</si>
  <si>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</si>
  <si>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</si>
  <si>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</si>
  <si>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</si>
  <si>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</si>
  <si>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</si>
  <si>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</si>
  <si>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</si>
  <si>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</si>
  <si>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</si>
  <si>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</si>
  <si>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</si>
  <si>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</si>
  <si>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</si>
  <si>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</si>
  <si>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</si>
  <si>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</si>
  <si>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</si>
  <si>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</si>
  <si>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</si>
  <si>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</si>
  <si>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</si>
  <si>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</si>
  <si>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</si>
  <si>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</si>
  <si>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</si>
  <si>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</si>
  <si>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</si>
  <si>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</si>
  <si>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</si>
  <si>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</si>
  <si>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</si>
  <si>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</si>
  <si>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</si>
  <si>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</si>
  <si>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</si>
  <si>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</si>
  <si>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</si>
  <si>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</si>
  <si>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</si>
  <si>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</si>
  <si>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</si>
  <si>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</si>
  <si>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</si>
  <si>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</si>
  <si>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</si>
  <si>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</si>
  <si>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</si>
  <si>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</si>
  <si>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</si>
  <si>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</si>
  <si>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</si>
  <si>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</si>
  <si>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</si>
  <si>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</si>
  <si>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</si>
  <si>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</si>
  <si>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</si>
  <si>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</si>
  <si>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</si>
  <si>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</si>
  <si>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</si>
  <si>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</si>
  <si>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</si>
  <si>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</si>
  <si>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</si>
  <si>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</si>
  <si>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</si>
  <si>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</si>
  <si>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</si>
  <si>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</si>
  <si>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</si>
  <si>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</si>
  <si>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</si>
  <si>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</si>
  <si>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</si>
  <si>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</si>
  <si>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</si>
  <si>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</si>
  <si>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</si>
  <si>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</si>
  <si>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</si>
  <si>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</si>
  <si>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</si>
  <si>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</si>
  <si>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</si>
  <si>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</si>
  <si>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</si>
  <si>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</si>
  <si>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</si>
  <si>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</si>
  <si>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</si>
  <si>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</si>
  <si>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</si>
  <si>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</si>
  <si>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</si>
  <si>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</si>
  <si>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</si>
  <si>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</si>
  <si>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</si>
  <si>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</si>
  <si>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</si>
  <si>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</si>
  <si>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</si>
  <si>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</si>
  <si>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</si>
  <si>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</si>
  <si>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</si>
  <si>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</si>
  <si>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</si>
  <si>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</si>
  <si>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</si>
  <si>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</si>
  <si>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</si>
  <si>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</si>
  <si>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</si>
  <si>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</si>
  <si>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</si>
  <si>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</si>
  <si>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</si>
  <si>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</si>
  <si>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</si>
  <si>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</si>
  <si>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</si>
  <si>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</si>
  <si>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</si>
  <si>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</si>
  <si>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</si>
  <si>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</si>
  <si>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</si>
  <si>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</si>
  <si>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</si>
  <si>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</si>
  <si>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</si>
  <si>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</si>
  <si>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</si>
  <si>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</si>
  <si>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</si>
  <si>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</si>
  <si>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</si>
  <si>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</si>
  <si>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</si>
  <si>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</si>
  <si>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</si>
  <si>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</si>
  <si>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</si>
  <si>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</si>
  <si>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</si>
  <si>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</si>
  <si>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</si>
  <si>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</si>
  <si>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</si>
  <si>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</si>
  <si>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</si>
  <si>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</si>
  <si>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</si>
  <si>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</si>
  <si>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</si>
  <si>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</si>
  <si>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</si>
  <si>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</si>
  <si>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</si>
  <si>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</si>
  <si>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</si>
  <si>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</si>
  <si>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</si>
  <si>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</si>
  <si>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</si>
  <si>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</si>
  <si>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</si>
  <si>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</si>
  <si>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</si>
  <si>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</si>
  <si>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</si>
  <si>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</si>
  <si>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</si>
  <si>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</si>
  <si>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</si>
  <si>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</si>
  <si>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</si>
  <si>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</si>
  <si>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</si>
  <si>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</si>
  <si>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</si>
  <si>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</si>
  <si>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</si>
  <si>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</si>
  <si>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</si>
  <si>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</si>
  <si>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</si>
  <si>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</si>
  <si>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</si>
  <si>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</si>
  <si>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</si>
  <si>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</si>
  <si>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</si>
  <si>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</si>
  <si>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</si>
  <si>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</si>
  <si>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</si>
  <si>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</si>
  <si>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</si>
  <si>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</si>
  <si>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</si>
  <si>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</si>
  <si>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</si>
  <si>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</si>
  <si>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</si>
  <si>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</si>
  <si>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</si>
  <si>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</si>
  <si>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</si>
  <si>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</si>
  <si>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</si>
  <si>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</si>
  <si>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</si>
  <si>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</si>
  <si>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</si>
  <si>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</si>
  <si>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</si>
  <si>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</si>
  <si>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</si>
  <si>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</si>
  <si>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</si>
  <si>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</si>
  <si>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</si>
  <si>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</si>
  <si>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</si>
  <si>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</si>
  <si>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</si>
  <si>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</si>
  <si>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</si>
  <si>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</si>
  <si>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</si>
  <si>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</si>
  <si>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</si>
  <si>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</si>
  <si>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</si>
  <si>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</si>
  <si>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</si>
  <si>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</si>
  <si>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</si>
  <si>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</si>
  <si>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</si>
  <si>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</si>
  <si>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</si>
  <si>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</si>
  <si>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</si>
  <si>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</si>
  <si>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</si>
  <si>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</si>
  <si>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</si>
  <si>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</si>
  <si>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</si>
  <si>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</si>
  <si>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</si>
  <si>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</si>
  <si>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</si>
  <si>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</si>
  <si>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</si>
  <si>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</si>
  <si>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</si>
  <si>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</si>
  <si>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</si>
  <si>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</si>
  <si>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</si>
  <si>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</si>
  <si>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</si>
  <si>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</si>
  <si>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</si>
  <si>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</si>
  <si>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</si>
  <si>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</si>
  <si>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</si>
  <si>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</si>
  <si>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</si>
  <si>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</si>
  <si>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</si>
  <si>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</si>
  <si>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</si>
  <si>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</si>
  <si>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</si>
  <si>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</si>
  <si>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</si>
  <si>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</si>
  <si>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</si>
  <si>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</si>
  <si>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</si>
  <si>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</si>
  <si>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</si>
  <si>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</si>
  <si>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</si>
  <si>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</si>
  <si>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</si>
  <si>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</si>
  <si>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</si>
  <si>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</si>
  <si>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</si>
  <si>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</si>
  <si>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</si>
  <si>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</si>
  <si>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</si>
  <si>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</si>
  <si>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</si>
  <si>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</si>
  <si>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</si>
  <si>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</si>
  <si>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</si>
  <si>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</si>
  <si>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</si>
  <si>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</si>
  <si>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</si>
  <si>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</si>
  <si>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</si>
  <si>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</si>
  <si>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</si>
  <si>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</si>
  <si>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</si>
  <si>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</si>
  <si>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</si>
  <si>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</si>
  <si>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</si>
  <si>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</si>
  <si>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</si>
  <si>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</si>
  <si>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</si>
  <si>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</si>
  <si>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</si>
  <si>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</si>
  <si>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</si>
  <si>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</si>
  <si>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</si>
  <si>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</si>
  <si>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</si>
  <si>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</si>
  <si>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</si>
  <si>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</si>
  <si>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</si>
  <si>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</si>
  <si>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</si>
  <si>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</si>
  <si>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</si>
  <si>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</si>
  <si>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</si>
  <si>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</si>
  <si>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</si>
  <si>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</si>
  <si>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</si>
  <si>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</si>
  <si>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</si>
  <si>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</si>
  <si>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</si>
  <si>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</si>
  <si>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</si>
  <si>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</si>
  <si>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</si>
  <si>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</si>
  <si>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</si>
  <si>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</si>
  <si>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</si>
  <si>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</si>
  <si>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</si>
  <si>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</si>
  <si>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</si>
  <si>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</si>
  <si>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</si>
  <si>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</si>
  <si>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</si>
  <si>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</si>
  <si>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</si>
  <si>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</si>
  <si>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</si>
  <si>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</si>
  <si>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</si>
  <si>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</si>
  <si>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</si>
  <si>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</si>
  <si>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</si>
  <si>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</si>
  <si>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</si>
  <si>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</si>
  <si>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</si>
  <si>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</si>
  <si>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</si>
  <si>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</si>
  <si>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</si>
  <si>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</si>
  <si>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</si>
  <si>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</si>
  <si>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</si>
  <si>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</si>
  <si>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</si>
  <si>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</si>
  <si>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</si>
  <si>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</si>
  <si>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</si>
  <si>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</si>
  <si>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</si>
  <si>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</si>
  <si>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</si>
  <si>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</si>
  <si>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</si>
  <si>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</si>
  <si>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</si>
  <si>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</si>
  <si>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</si>
  <si>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</si>
  <si>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</si>
  <si>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</si>
  <si>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</si>
  <si>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</si>
  <si>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</si>
  <si>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</si>
  <si>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</si>
  <si>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</si>
  <si>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</si>
  <si>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</si>
  <si>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</si>
  <si>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</si>
  <si>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</si>
  <si>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</si>
  <si>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</si>
  <si>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</si>
  <si>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</si>
  <si>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</si>
  <si>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</si>
  <si>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</si>
  <si>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</si>
  <si>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</si>
  <si>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</si>
  <si>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</si>
  <si>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</si>
  <si>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</si>
  <si>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</si>
  <si>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</si>
  <si>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</si>
  <si>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</si>
  <si>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</si>
  <si>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</si>
  <si>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</si>
  <si>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</si>
  <si>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</si>
  <si>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</si>
  <si>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</si>
  <si>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</si>
  <si>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</si>
  <si>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</si>
  <si>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</si>
  <si>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</si>
  <si>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</si>
  <si>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</si>
  <si>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</si>
  <si>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</si>
  <si>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</si>
  <si>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</si>
  <si>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</si>
  <si>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</si>
  <si>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</si>
  <si>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</si>
  <si>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</si>
  <si>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</si>
  <si>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</si>
  <si>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</si>
  <si>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</si>
  <si>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</si>
  <si>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</si>
  <si>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</si>
  <si>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</si>
  <si>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</si>
  <si>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</si>
  <si>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</si>
  <si>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</si>
  <si>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</si>
  <si>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</si>
  <si>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</si>
  <si>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</si>
  <si>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</si>
  <si>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</si>
  <si>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</si>
  <si>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</si>
  <si>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</si>
  <si>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</si>
  <si>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</si>
  <si>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</si>
  <si>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</si>
  <si>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</si>
  <si>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</si>
  <si>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</si>
  <si>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</si>
  <si>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</si>
  <si>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</si>
  <si>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</si>
  <si>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</si>
  <si>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</si>
  <si>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</si>
  <si>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</si>
  <si>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</si>
  <si>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</si>
  <si>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</si>
  <si>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</si>
  <si>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</si>
  <si>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</si>
  <si>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</si>
  <si>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</si>
  <si>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</si>
  <si>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</si>
  <si>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</si>
  <si>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</si>
  <si>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</si>
  <si>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</si>
  <si>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</si>
  <si>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</si>
  <si>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</si>
  <si>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</si>
  <si>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</si>
  <si>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</si>
  <si>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</si>
  <si>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</si>
  <si>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</si>
  <si>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</si>
  <si>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</si>
  <si>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</si>
  <si>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</si>
  <si>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</si>
  <si>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</si>
  <si>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</si>
  <si>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</si>
  <si>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</si>
  <si>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</si>
  <si>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</si>
  <si>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</si>
  <si>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</si>
  <si>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</si>
  <si>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</si>
  <si>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</si>
  <si>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</si>
  <si>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</si>
  <si>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</si>
  <si>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</si>
  <si>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</si>
  <si>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</si>
  <si>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</si>
  <si>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</si>
  <si>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</si>
  <si>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</si>
  <si>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</si>
  <si>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</si>
  <si>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</si>
  <si>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</si>
  <si>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</si>
  <si>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</si>
  <si>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</si>
  <si>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</si>
  <si>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</si>
  <si>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</si>
  <si>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</si>
  <si>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</si>
  <si>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</si>
  <si>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</si>
  <si>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</si>
  <si>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</si>
  <si>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</si>
  <si>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</si>
  <si>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</si>
  <si>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</si>
  <si>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</si>
  <si>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</si>
  <si>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</si>
  <si>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</si>
  <si>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</si>
  <si>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</si>
  <si>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</si>
  <si>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</si>
  <si>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</si>
  <si>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</si>
  <si>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</si>
  <si>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</si>
  <si>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</si>
  <si>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</si>
  <si>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</si>
  <si>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</si>
  <si>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</si>
  <si>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</si>
  <si>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</si>
  <si>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</si>
  <si>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</si>
  <si>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</si>
  <si>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</si>
  <si>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</si>
  <si>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</si>
  <si>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</si>
  <si>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</si>
  <si>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</si>
  <si>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</si>
  <si>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</si>
  <si>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</si>
  <si>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</si>
  <si>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</si>
  <si>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</si>
  <si>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</si>
  <si>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</si>
  <si>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</si>
  <si>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</si>
  <si>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</si>
  <si>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</si>
  <si>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</si>
  <si>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</si>
  <si>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</si>
  <si>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</si>
  <si>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</si>
  <si>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</si>
  <si>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</si>
  <si>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</si>
  <si>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</si>
  <si>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</si>
  <si>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</si>
  <si>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</si>
  <si>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</si>
  <si>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</si>
  <si>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</si>
  <si>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</si>
  <si>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</si>
  <si>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</si>
  <si>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</si>
  <si>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</si>
  <si>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</si>
  <si>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</si>
  <si>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</si>
  <si>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</si>
  <si>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</si>
  <si>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</si>
  <si>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</si>
  <si>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</si>
  <si>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</si>
  <si>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</si>
  <si>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</si>
  <si>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</si>
  <si>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</si>
  <si>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</si>
  <si>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</si>
  <si>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</si>
  <si>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</si>
  <si>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</si>
  <si>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</si>
  <si>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</si>
  <si>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</si>
  <si>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</si>
  <si>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</si>
  <si>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</si>
  <si>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</si>
  <si>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</si>
  <si>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</si>
  <si>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</si>
  <si>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</si>
  <si>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</si>
  <si>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</si>
  <si>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</si>
  <si>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</si>
  <si>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</si>
  <si>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</si>
  <si>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</si>
  <si>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</si>
  <si>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</si>
  <si>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</si>
  <si>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</si>
  <si>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</si>
  <si>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</si>
  <si>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</si>
  <si>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</si>
  <si>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</si>
  <si>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</si>
  <si>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</si>
  <si>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</si>
  <si>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</si>
  <si>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</si>
  <si>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</si>
  <si>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</si>
  <si>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</si>
  <si>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</si>
  <si>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</si>
  <si>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</si>
  <si>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</si>
  <si>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</si>
  <si>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</si>
  <si>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</si>
  <si>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</si>
  <si>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</si>
  <si>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</si>
  <si>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</si>
  <si>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</si>
  <si>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</si>
  <si>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</si>
  <si>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</si>
  <si>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</si>
  <si>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</si>
  <si>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</si>
  <si>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</si>
  <si>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</si>
  <si>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</si>
  <si>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</si>
  <si>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</si>
  <si>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</si>
  <si>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</si>
  <si>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</si>
  <si>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</si>
  <si>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</si>
  <si>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</si>
  <si>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</si>
  <si>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</si>
  <si>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</si>
  <si>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</si>
  <si>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</si>
  <si>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</si>
  <si>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</si>
  <si>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</si>
  <si>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</si>
  <si>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</si>
  <si>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</si>
  <si>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</si>
  <si>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</si>
  <si>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</si>
  <si>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</si>
  <si>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</si>
  <si>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</si>
  <si>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</si>
  <si>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</si>
  <si>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</si>
  <si>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</si>
  <si>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</si>
  <si>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</si>
  <si>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</si>
  <si>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</si>
  <si>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</si>
  <si>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</si>
  <si>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</si>
  <si>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</si>
  <si>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</si>
  <si>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</si>
  <si>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</si>
  <si>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</si>
  <si>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</si>
  <si>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</si>
  <si>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</si>
  <si>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</si>
  <si>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</si>
  <si>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</si>
  <si>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</si>
  <si>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</si>
  <si>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</si>
  <si>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</si>
  <si>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</si>
  <si>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</si>
  <si>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</si>
  <si>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</si>
  <si>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</si>
  <si>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</si>
  <si>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</si>
  <si>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</si>
  <si>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</si>
  <si>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</si>
  <si>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</si>
  <si>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</si>
  <si>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</si>
  <si>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</si>
  <si>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</si>
  <si>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</si>
  <si>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</si>
  <si>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</si>
  <si>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</si>
  <si>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</si>
  <si>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</si>
  <si>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</si>
  <si>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</si>
  <si>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</si>
  <si>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</si>
  <si>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</si>
  <si>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</si>
  <si>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</si>
  <si>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</si>
  <si>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</si>
  <si>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</si>
  <si>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</si>
  <si>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</si>
  <si>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</si>
  <si>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</si>
  <si>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</si>
  <si>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</si>
  <si>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</si>
  <si>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</si>
  <si>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</si>
  <si>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</si>
  <si>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</si>
  <si>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</si>
  <si>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</si>
  <si>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</si>
  <si>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</si>
  <si>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</si>
  <si>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</si>
  <si>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</si>
  <si>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</si>
  <si>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</si>
  <si>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</si>
  <si>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</si>
  <si>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</si>
  <si>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</si>
  <si>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</si>
  <si>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</si>
  <si>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</si>
  <si>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</si>
  <si>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</si>
  <si>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</si>
  <si>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</si>
  <si>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</si>
  <si>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</si>
  <si>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</si>
  <si>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</si>
  <si>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</si>
  <si>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</si>
  <si>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</si>
  <si>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</si>
  <si>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</si>
  <si>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</si>
  <si>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</si>
  <si>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</si>
  <si>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</si>
  <si>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</si>
  <si>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</si>
  <si>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</si>
  <si>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</si>
  <si>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</si>
  <si>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</si>
  <si>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</si>
  <si>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</si>
  <si>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</si>
  <si>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</si>
  <si>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</si>
  <si>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</si>
  <si>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</si>
  <si>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</si>
  <si>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</si>
  <si>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</si>
  <si>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</si>
  <si>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</si>
  <si>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</si>
  <si>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</si>
  <si>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</si>
  <si>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</si>
  <si>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</si>
  <si>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</si>
  <si>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</si>
  <si>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</si>
  <si>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</si>
  <si>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</si>
  <si>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</si>
  <si>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</si>
  <si>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</si>
  <si>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</si>
  <si>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</si>
  <si>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</si>
  <si>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</si>
  <si>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</si>
  <si>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</si>
  <si>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</si>
  <si>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</si>
  <si>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</si>
  <si>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</si>
  <si>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</si>
  <si>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</si>
  <si>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</si>
  <si>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</si>
  <si>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</si>
  <si>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</si>
  <si>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</si>
  <si>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</si>
  <si>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</si>
  <si>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</si>
  <si>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</si>
  <si>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</si>
  <si>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</si>
  <si>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</si>
  <si>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</si>
  <si>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</si>
  <si>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</si>
  <si>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</si>
  <si>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</si>
  <si>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</si>
  <si>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</si>
  <si>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</si>
  <si>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</si>
  <si>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</si>
  <si>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</si>
  <si>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</si>
  <si>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</si>
  <si>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</si>
  <si>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</si>
  <si>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</si>
  <si>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</si>
  <si>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</si>
  <si>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</si>
  <si>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</si>
  <si>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</si>
  <si>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</si>
  <si>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</si>
  <si>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</si>
  <si>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</si>
  <si>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</si>
  <si>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</si>
  <si>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</si>
  <si>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</si>
  <si>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</si>
  <si>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</si>
  <si>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</si>
  <si>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</si>
  <si>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</si>
  <si>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</si>
  <si>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</si>
  <si>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</si>
  <si>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</si>
  <si>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</si>
  <si>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</si>
  <si>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</si>
  <si>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</si>
  <si>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</si>
  <si>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</si>
  <si>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</si>
  <si>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</si>
  <si>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</si>
  <si>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</si>
  <si>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</si>
  <si>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</si>
  <si>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</si>
  <si>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</si>
  <si>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</si>
  <si>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</si>
  <si>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</si>
  <si>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</si>
  <si>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</si>
  <si>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</si>
  <si>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</si>
  <si>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</si>
  <si>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</si>
  <si>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</si>
  <si>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</si>
  <si>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</si>
  <si>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</si>
  <si>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</si>
  <si>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</si>
  <si>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</si>
  <si>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</si>
  <si>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</si>
  <si>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</si>
  <si>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</si>
  <si>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</si>
  <si>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</si>
  <si>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</si>
  <si>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</si>
  <si>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</si>
  <si>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</si>
  <si>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</si>
  <si>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</si>
  <si>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</si>
  <si>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</si>
  <si>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</si>
  <si>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</si>
  <si>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</si>
  <si>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</si>
  <si>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</si>
  <si>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</si>
  <si>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</si>
  <si>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</si>
  <si>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</si>
  <si>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</si>
  <si>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</si>
  <si>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</si>
  <si>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</si>
  <si>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</si>
  <si>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</si>
  <si>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</si>
  <si>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</si>
  <si>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</si>
  <si>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</si>
  <si>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</si>
  <si>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</si>
  <si>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</si>
  <si>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</si>
  <si>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</si>
  <si>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</si>
  <si>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</si>
  <si>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</si>
  <si>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</si>
  <si>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</si>
  <si>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</si>
  <si>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</si>
  <si>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</si>
  <si>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</si>
  <si>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</si>
  <si>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</si>
  <si>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</si>
  <si>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</si>
  <si>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</si>
  <si>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</si>
  <si>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</si>
  <si>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</si>
  <si>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</si>
  <si>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</si>
  <si>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</si>
  <si>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</si>
  <si>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</si>
  <si>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</si>
  <si>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</si>
  <si>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</si>
  <si>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</si>
  <si>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</si>
  <si>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</si>
  <si>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</si>
  <si>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</si>
  <si>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</si>
  <si>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</si>
  <si>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</si>
  <si>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</si>
  <si>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</si>
  <si>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</si>
  <si>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</si>
  <si>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</si>
  <si>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</si>
  <si>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</si>
  <si>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</si>
  <si>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</si>
  <si>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</si>
  <si>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</si>
  <si>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</si>
  <si>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</si>
  <si>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</si>
  <si>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</si>
  <si>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</si>
  <si>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</si>
  <si>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</si>
  <si>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</si>
  <si>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</si>
  <si>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</si>
  <si>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</si>
  <si>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</si>
  <si>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</si>
  <si>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</si>
  <si>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</si>
  <si>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</si>
  <si>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</si>
  <si>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</si>
  <si>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</si>
  <si>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</si>
  <si>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</si>
  <si>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</si>
  <si>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</si>
  <si>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</si>
  <si>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</si>
  <si>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</si>
  <si>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</si>
  <si>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</si>
  <si>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</si>
  <si>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</si>
  <si>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</si>
  <si>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</si>
  <si>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</si>
  <si>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</si>
  <si>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</si>
  <si>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</si>
  <si>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</si>
  <si>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</si>
  <si>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</si>
  <si>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</si>
  <si>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</si>
  <si>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</si>
  <si>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</si>
  <si>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</si>
  <si>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</si>
  <si>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</si>
  <si>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</si>
  <si>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</si>
  <si>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</si>
  <si>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</si>
  <si>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</si>
  <si>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</si>
  <si>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</si>
  <si>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</si>
  <si>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</si>
  <si>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</si>
  <si>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</si>
  <si>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</si>
  <si>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</si>
  <si>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</si>
  <si>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</si>
  <si>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</si>
  <si>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</si>
  <si>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</si>
  <si>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</si>
  <si>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</si>
  <si>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</si>
  <si>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</si>
  <si>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</si>
  <si>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</si>
  <si>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</si>
  <si>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</si>
  <si>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</si>
  <si>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</si>
  <si>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</si>
  <si>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</si>
  <si>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</si>
  <si>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</si>
  <si>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</si>
  <si>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</si>
  <si>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</si>
  <si>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</si>
  <si>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</si>
  <si>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</si>
  <si>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</si>
  <si>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</si>
  <si>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</si>
  <si>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</si>
  <si>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</si>
  <si>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</si>
  <si>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</si>
  <si>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</si>
  <si>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</si>
  <si>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</si>
  <si>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</si>
  <si>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</si>
  <si>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</si>
  <si>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</si>
  <si>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</si>
  <si>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</si>
  <si>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</si>
  <si>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</si>
  <si>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</si>
  <si>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</si>
  <si>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</si>
  <si>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</si>
  <si>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</si>
  <si>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</si>
  <si>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</si>
  <si>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</si>
  <si>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</si>
  <si>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</si>
  <si>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</si>
  <si>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</si>
  <si>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</si>
  <si>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</si>
  <si>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</si>
  <si>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</si>
  <si>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</si>
  <si>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</si>
  <si>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</si>
  <si>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</si>
  <si>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</si>
  <si>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</si>
  <si>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</si>
  <si>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</si>
  <si>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</si>
  <si>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</si>
  <si>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</si>
  <si>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</si>
  <si>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</si>
  <si>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</si>
  <si>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</si>
  <si>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</si>
  <si>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</si>
  <si>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</si>
  <si>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</si>
  <si>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</si>
  <si>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</si>
  <si>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</si>
  <si>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</si>
  <si>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</si>
  <si>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</si>
  <si>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</si>
  <si>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</si>
  <si>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</si>
  <si>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</si>
  <si>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</si>
  <si>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</si>
  <si>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</si>
  <si>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</si>
  <si>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</si>
  <si>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</si>
  <si>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</si>
  <si>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</si>
  <si>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</si>
  <si>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</si>
  <si>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</si>
  <si>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</si>
  <si>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</si>
  <si>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</si>
  <si>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</si>
  <si>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</si>
  <si>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</si>
  <si>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</si>
  <si>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</si>
  <si>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</si>
  <si>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</si>
  <si>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</si>
  <si>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</si>
  <si>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</si>
  <si>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</si>
  <si>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</si>
  <si>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</si>
  <si>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</si>
  <si>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</si>
  <si>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</si>
  <si>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</si>
  <si>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</si>
  <si>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</si>
  <si>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</si>
  <si>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</si>
  <si>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</si>
  <si>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</si>
  <si>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</si>
  <si>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</si>
  <si>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</si>
  <si>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</si>
  <si>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</si>
  <si>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</si>
  <si>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</si>
  <si>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</si>
  <si>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</si>
  <si>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</si>
  <si>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</si>
  <si>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</si>
  <si>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</si>
  <si>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</si>
  <si>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</si>
  <si>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</si>
  <si>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</si>
  <si>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</si>
  <si>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</si>
  <si>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</si>
  <si>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</si>
  <si>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</si>
  <si>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</si>
  <si>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</si>
  <si>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</si>
  <si>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</si>
  <si>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</si>
  <si>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</si>
  <si>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</si>
  <si>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</si>
  <si>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</si>
  <si>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</si>
  <si>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</si>
  <si>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</si>
  <si>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</si>
  <si>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</si>
  <si>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</si>
  <si>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</si>
  <si>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</si>
  <si>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</si>
  <si>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</si>
  <si>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</si>
  <si>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</si>
  <si>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</si>
  <si>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</si>
  <si>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</si>
  <si>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</si>
  <si>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</si>
  <si>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</si>
  <si>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</si>
  <si>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</si>
  <si>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</si>
  <si>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</si>
  <si>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</si>
  <si>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</si>
  <si>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</si>
  <si>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</si>
  <si>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</si>
  <si>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</si>
  <si>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</si>
  <si>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</si>
  <si>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</si>
  <si>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</si>
  <si>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</si>
  <si>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</si>
  <si>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</si>
  <si>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</si>
  <si>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</si>
  <si>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</si>
  <si>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</si>
  <si>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</si>
  <si>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</si>
  <si>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</si>
  <si>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</si>
  <si>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</si>
  <si>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</si>
  <si>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</si>
  <si>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</si>
  <si>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</si>
  <si>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</si>
  <si>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</si>
  <si>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</si>
  <si>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</si>
  <si>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</si>
  <si>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</si>
  <si>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</si>
  <si>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</si>
  <si>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</si>
  <si>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</si>
  <si>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</si>
  <si>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</si>
  <si>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</si>
  <si>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</si>
  <si>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</si>
  <si>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</si>
  <si>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</si>
  <si>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</si>
  <si>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</si>
  <si>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</si>
  <si>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</si>
  <si>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</si>
  <si>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</si>
  <si>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</si>
  <si>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</si>
  <si>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</si>
  <si>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</si>
  <si>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</si>
  <si>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</si>
  <si>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</si>
  <si>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</si>
  <si>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</si>
  <si>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</si>
  <si>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</si>
  <si>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</si>
  <si>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</si>
  <si>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</si>
  <si>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</si>
  <si>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</si>
  <si>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</si>
  <si>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</si>
  <si>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</si>
  <si>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</si>
  <si>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</si>
  <si>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</si>
  <si>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</si>
  <si>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</si>
  <si>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</si>
  <si>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</si>
  <si>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</si>
  <si>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</si>
  <si>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</si>
  <si>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</si>
  <si>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</si>
  <si>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</si>
  <si>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</si>
  <si>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</si>
  <si>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</si>
  <si>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</si>
  <si>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</si>
  <si>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</si>
  <si>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</si>
  <si>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</si>
  <si>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</si>
  <si>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</si>
  <si>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</si>
  <si>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</si>
  <si>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</si>
  <si>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</si>
  <si>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</si>
  <si>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</si>
  <si>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</si>
  <si>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</si>
  <si>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</si>
  <si>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</si>
  <si>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</si>
  <si>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</si>
  <si>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</si>
  <si>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</si>
  <si>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</si>
  <si>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</si>
  <si>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</si>
  <si>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</si>
  <si>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</si>
  <si>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</si>
  <si>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</si>
  <si>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</si>
  <si>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</si>
  <si>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</si>
  <si>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</si>
  <si>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</si>
  <si>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</si>
  <si>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</si>
  <si>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</si>
  <si>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</si>
  <si>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</si>
  <si>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</si>
  <si>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</si>
  <si>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</si>
  <si>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</si>
  <si>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</si>
  <si>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</si>
  <si>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</si>
  <si>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</si>
  <si>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</si>
  <si>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</si>
  <si>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</si>
  <si>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</si>
  <si>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</si>
  <si>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</si>
  <si>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</si>
  <si>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</si>
  <si>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</si>
  <si>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</si>
  <si>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</si>
  <si>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</si>
  <si>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</si>
  <si>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</si>
  <si>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</si>
  <si>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</si>
  <si>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</si>
  <si>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</si>
  <si>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</si>
  <si>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</si>
  <si>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</si>
  <si>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</si>
  <si>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</si>
  <si>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</si>
  <si>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</si>
  <si>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</si>
  <si>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</si>
  <si>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</si>
  <si>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</si>
  <si>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</si>
  <si>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</si>
  <si>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</si>
  <si>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</si>
  <si>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</si>
  <si>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</si>
  <si>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</si>
  <si>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</si>
  <si>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</si>
  <si>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</si>
  <si>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</si>
  <si>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</si>
  <si>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</si>
  <si>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</si>
  <si>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</si>
  <si>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</si>
  <si>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</si>
  <si>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</si>
  <si>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</si>
  <si>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</si>
  <si>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</si>
  <si>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</si>
  <si>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</si>
  <si>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</si>
  <si>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</si>
  <si>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</si>
  <si>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</si>
  <si>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</si>
  <si>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</si>
  <si>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</si>
  <si>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</si>
  <si>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</si>
  <si>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</si>
  <si>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</si>
  <si>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</si>
  <si>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</si>
  <si>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</si>
  <si>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</si>
  <si>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</si>
  <si>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</si>
  <si>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</si>
  <si>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</si>
  <si>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</si>
  <si>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</si>
  <si>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</si>
  <si>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</si>
  <si>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</si>
  <si>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</si>
  <si>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</si>
  <si>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</si>
  <si>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</si>
  <si>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</si>
  <si>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</si>
  <si>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</si>
  <si>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</si>
  <si>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</si>
  <si>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</si>
  <si>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</si>
  <si>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</si>
  <si>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</si>
  <si>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</si>
  <si>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</si>
  <si>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</si>
  <si>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</si>
  <si>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</si>
  <si>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</si>
  <si>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</si>
  <si>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</si>
  <si>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</si>
  <si>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</si>
  <si>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</si>
  <si>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</si>
  <si>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</si>
  <si>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</si>
  <si>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</si>
  <si>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</si>
  <si>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</si>
  <si>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</si>
  <si>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</si>
  <si>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</si>
  <si>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</si>
  <si>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</si>
  <si>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</si>
  <si>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</si>
  <si>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</si>
  <si>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</si>
  <si>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</si>
  <si>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</si>
  <si>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</si>
  <si>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</si>
  <si>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</si>
  <si>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</si>
  <si>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</si>
  <si>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</si>
  <si>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</si>
  <si>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</si>
  <si>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</si>
  <si>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</si>
  <si>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</si>
  <si>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</si>
  <si>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</si>
  <si>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</si>
  <si>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</si>
  <si>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</si>
  <si>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</si>
  <si>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</si>
  <si>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</si>
  <si>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</si>
  <si>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</si>
  <si>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</si>
  <si>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</si>
  <si>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</si>
  <si>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</si>
  <si>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</si>
  <si>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</si>
  <si>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</si>
  <si>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</si>
  <si>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</si>
  <si>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</si>
  <si>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</si>
  <si>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</si>
  <si>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</si>
  <si>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</si>
  <si>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</si>
  <si>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</si>
  <si>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</si>
  <si>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</si>
  <si>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</si>
  <si>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</si>
  <si>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</si>
  <si>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</si>
  <si>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</si>
  <si>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</si>
  <si>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</si>
  <si>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</si>
  <si>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</si>
  <si>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</si>
  <si>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</si>
  <si>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</si>
  <si>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</si>
  <si>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</si>
  <si>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</si>
  <si>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</si>
  <si>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</si>
  <si>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</si>
  <si>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</si>
  <si>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</si>
  <si>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</si>
  <si>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</si>
  <si>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</si>
  <si>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</si>
  <si>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</si>
  <si>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</si>
  <si>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</si>
  <si>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</si>
  <si>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</si>
  <si>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</si>
  <si>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</si>
  <si>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</si>
  <si>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</si>
  <si>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</si>
  <si>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</si>
  <si>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</si>
  <si>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</si>
  <si>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</si>
  <si>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</si>
  <si>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</si>
  <si>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</si>
  <si>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</si>
  <si>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</si>
  <si>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</si>
  <si>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</si>
  <si>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</si>
  <si>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</si>
  <si>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</si>
  <si>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</si>
  <si>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</si>
  <si>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</si>
  <si>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</si>
  <si>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</si>
  <si>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</si>
  <si>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</si>
  <si>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</si>
  <si>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</si>
  <si>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</si>
  <si>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</si>
  <si>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</si>
  <si>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</si>
  <si>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</si>
  <si>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</si>
  <si>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</si>
  <si>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</si>
  <si>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</si>
  <si>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</si>
  <si>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</si>
  <si>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</si>
  <si>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</si>
  <si>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</si>
  <si>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</si>
  <si>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</si>
  <si>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</si>
  <si>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</si>
  <si>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</si>
  <si>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</si>
  <si>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</si>
  <si>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</si>
  <si>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</si>
  <si>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</si>
  <si>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</si>
  <si>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</si>
  <si>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</si>
  <si>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</si>
  <si>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</si>
  <si>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</si>
  <si>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</si>
  <si>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</si>
  <si>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</si>
  <si>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</si>
  <si>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</si>
  <si>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</si>
  <si>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</si>
  <si>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</si>
  <si>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</si>
  <si>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</si>
  <si>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</si>
  <si>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</si>
  <si>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</si>
  <si>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</si>
  <si>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</si>
  <si>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</si>
  <si>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</si>
  <si>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</si>
  <si>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</si>
  <si>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</si>
  <si>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</si>
  <si>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</si>
  <si>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</si>
  <si>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</si>
  <si>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</si>
  <si>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</si>
  <si>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</si>
  <si>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</si>
  <si>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</si>
  <si>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</si>
  <si>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</si>
  <si>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</si>
  <si>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</si>
  <si>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</si>
  <si>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</si>
  <si>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</si>
  <si>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</si>
  <si>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</si>
  <si>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</si>
  <si>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</si>
  <si>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</si>
  <si>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</si>
  <si>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</si>
  <si>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</si>
  <si>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</si>
  <si>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</si>
  <si>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</si>
  <si>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</si>
  <si>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</si>
  <si>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</si>
  <si>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</si>
  <si>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</si>
  <si>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</si>
  <si>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</si>
  <si>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</si>
  <si>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</si>
  <si>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</si>
  <si>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</si>
  <si>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</si>
  <si>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</si>
  <si>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</si>
  <si>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</si>
  <si>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</si>
  <si>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</si>
  <si>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</si>
  <si>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</si>
  <si>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</si>
  <si>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</si>
  <si>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</si>
  <si>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</si>
  <si>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</si>
  <si>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</si>
  <si>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</si>
  <si>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</si>
  <si>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</si>
  <si>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</si>
  <si>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</si>
  <si>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</si>
  <si>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</si>
  <si>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</si>
  <si>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</si>
  <si>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</si>
  <si>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</si>
  <si>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</si>
  <si>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</si>
  <si>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</si>
  <si>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</si>
  <si>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</si>
  <si>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</si>
  <si>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</si>
  <si>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</si>
  <si>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</si>
  <si>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</si>
  <si>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</si>
  <si>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</si>
  <si>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</si>
  <si>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</si>
  <si>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</si>
  <si>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</si>
  <si>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</si>
  <si>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</si>
  <si>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</si>
  <si>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</si>
  <si>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</si>
  <si>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</si>
  <si>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</si>
  <si>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</si>
  <si>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</si>
  <si>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</si>
  <si>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</si>
  <si>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</si>
  <si>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</si>
  <si>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</si>
  <si>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</si>
  <si>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</si>
  <si>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</si>
  <si>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</si>
  <si>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</si>
  <si>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</si>
  <si>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</si>
  <si>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</si>
  <si>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</si>
  <si>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</si>
  <si>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</si>
  <si>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</si>
  <si>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</si>
  <si>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</si>
  <si>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</si>
  <si>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</si>
  <si>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</si>
  <si>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</si>
  <si>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</si>
  <si>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</si>
  <si>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</si>
  <si>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</si>
  <si>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</si>
  <si>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</si>
  <si>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</si>
  <si>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</si>
  <si>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</si>
  <si>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</si>
  <si>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</si>
  <si>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</si>
  <si>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</si>
  <si>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</si>
  <si>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</si>
  <si>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</si>
  <si>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</si>
  <si>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</si>
  <si>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</si>
  <si>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</si>
  <si>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</si>
  <si>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</si>
  <si>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</si>
  <si>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</si>
  <si>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</si>
  <si>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</si>
  <si>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</si>
  <si>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</si>
  <si>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</si>
  <si>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</si>
  <si>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</si>
  <si>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</si>
  <si>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</si>
  <si>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</si>
  <si>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</si>
  <si>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</si>
  <si>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</si>
  <si>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</si>
  <si>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</si>
  <si>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</si>
  <si>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</si>
  <si>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12/9/1397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</si>
  <si>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</si>
  <si>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</si>
  <si>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</si>
  <si>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</si>
  <si>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</si>
  <si>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</si>
  <si>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</si>
  <si>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</si>
  <si>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</si>
  <si>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</si>
  <si>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</si>
  <si>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</si>
  <si>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</si>
  <si>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</si>
  <si>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</si>
  <si>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</si>
  <si>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</si>
  <si>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</si>
  <si>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</si>
  <si>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</si>
  <si>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</si>
  <si>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</si>
  <si>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</si>
  <si>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</si>
  <si>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</si>
  <si>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22/9/1397</t>
  </si>
  <si>
    <t>24/9/1397</t>
  </si>
  <si>
    <t>وغدیر 10000 تا متوسط 168.5</t>
  </si>
  <si>
    <t>به امیر قدس</t>
  </si>
  <si>
    <t>25/9/1397</t>
  </si>
  <si>
    <t>وغدیر 800 تا 166.2</t>
  </si>
  <si>
    <t>وغدیر 604 تا 166.7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</si>
  <si>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</si>
  <si>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</si>
  <si>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</si>
  <si>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</si>
  <si>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</si>
  <si>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</si>
  <si>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</si>
  <si>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</si>
  <si>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</si>
  <si>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</si>
  <si>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</si>
  <si>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</si>
  <si>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</si>
  <si>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</si>
  <si>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</si>
  <si>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</si>
  <si>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</si>
  <si>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</si>
  <si>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</si>
  <si>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</si>
  <si>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</si>
  <si>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</si>
  <si>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</si>
  <si>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</si>
  <si>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</si>
  <si>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</si>
  <si>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</si>
  <si>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</si>
  <si>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</si>
  <si>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</si>
  <si>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</si>
  <si>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</si>
  <si>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</si>
  <si>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</si>
  <si>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</si>
  <si>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</si>
  <si>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</si>
  <si>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</si>
  <si>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</si>
  <si>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</si>
  <si>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</si>
  <si>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</si>
  <si>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</si>
  <si>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</si>
  <si>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</si>
  <si>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</si>
  <si>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</si>
  <si>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</si>
  <si>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</si>
  <si>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</si>
  <si>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</si>
  <si>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</si>
  <si>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</si>
  <si>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</si>
  <si>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</si>
  <si>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</si>
  <si>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</si>
  <si>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</si>
  <si>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</si>
  <si>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</si>
  <si>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</si>
  <si>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</si>
  <si>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</si>
  <si>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</si>
  <si>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</si>
  <si>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</si>
  <si>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</si>
  <si>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</si>
  <si>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شفن یا شخارک</t>
  </si>
  <si>
    <t>وبانک 556 تا 286 (تشویقی)</t>
  </si>
  <si>
    <t>وبانک 597 تا 287 (تشویقی)</t>
  </si>
  <si>
    <t>شغدیر 197 تا 508 (تشویقی)</t>
  </si>
  <si>
    <t>مستقیم</t>
  </si>
  <si>
    <t>معکوس</t>
  </si>
  <si>
    <t>درصد</t>
  </si>
  <si>
    <t>کامل کردن برنامه نسبتی</t>
  </si>
  <si>
    <t>11/10/1397</t>
  </si>
  <si>
    <t>پردیس و گوهران</t>
  </si>
  <si>
    <t>12/10/1397</t>
  </si>
  <si>
    <t>گوهران</t>
  </si>
  <si>
    <t>16/10/1397</t>
  </si>
  <si>
    <t>پیدا کردن سهم خشک شده</t>
  </si>
  <si>
    <t>پارسان</t>
  </si>
  <si>
    <t>17/10/1397</t>
  </si>
  <si>
    <t>پارسان 1205 تا 413 (تشویقی)</t>
  </si>
  <si>
    <t>وصنعت</t>
  </si>
  <si>
    <t>وسبحان</t>
  </si>
  <si>
    <t xml:space="preserve">بدهی سارا به صندوق </t>
  </si>
  <si>
    <t>13/10/1397</t>
  </si>
  <si>
    <t>15/10/1397</t>
  </si>
  <si>
    <t>دکتر</t>
  </si>
  <si>
    <t>18/10/1397</t>
  </si>
  <si>
    <t>1121-1251</t>
  </si>
  <si>
    <t>1864-1914</t>
  </si>
  <si>
    <t>وغدیر 8695 تا 190.3 (انتقالی از حساب داریوش)</t>
  </si>
  <si>
    <t>19/10/1397</t>
  </si>
  <si>
    <t>سکه9912 تعداد 30 قیمت 395600</t>
  </si>
  <si>
    <t>گوشی از دیجی کالا</t>
  </si>
  <si>
    <t>pricr</t>
  </si>
  <si>
    <t>price/NAV</t>
  </si>
  <si>
    <t>NAV</t>
  </si>
  <si>
    <t>وتوصا</t>
  </si>
  <si>
    <t>نکات</t>
  </si>
  <si>
    <t>حدود 51 درصد وصنعت برای وتوصاست</t>
  </si>
  <si>
    <t>حدود 67 درصد پارسیان برای وغدیر است</t>
  </si>
  <si>
    <t>22/10/1397</t>
  </si>
  <si>
    <t>وغدیر 13000 تا 174.9</t>
  </si>
  <si>
    <t>طلب از رضا 22/10/97</t>
  </si>
  <si>
    <t>دو به رضا و 10 مقدی</t>
  </si>
  <si>
    <t>به رضا 22/10</t>
  </si>
  <si>
    <t>دو به رضا و 10 نقد</t>
  </si>
  <si>
    <t>22/10/1397  15:12</t>
  </si>
  <si>
    <t>23/10/1397</t>
  </si>
  <si>
    <t>طلب از داریوش 23/10/97</t>
  </si>
  <si>
    <t>زدشت 339 تا 195</t>
  </si>
  <si>
    <t>زدشت</t>
  </si>
  <si>
    <t>زاگرس 200 تا 5043</t>
  </si>
  <si>
    <t>وغدیر 23000 تا 173</t>
  </si>
  <si>
    <t>زدشت 338 تا 195</t>
  </si>
  <si>
    <t>شاراک 1 تا 4418</t>
  </si>
  <si>
    <t>1760-191.5</t>
  </si>
  <si>
    <t>وغدیر 6000 تا 171.2</t>
  </si>
  <si>
    <t>مبین</t>
  </si>
  <si>
    <t>مبین 3543 تا 749 (تشویقی)</t>
  </si>
  <si>
    <t>21/10/1397</t>
  </si>
  <si>
    <t>20/10/1397</t>
  </si>
  <si>
    <t>وغدیر 3300 تا 175 اصلاح اشتباهای قبلی</t>
  </si>
  <si>
    <t>سکه9912 تعداد 10 قیمت 399100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</si>
</sst>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0" workbookViewId="0">
      <selection activeCell="B26" sqref="B26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4567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4567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4571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4571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4577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4577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4582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4587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4587</v>
      </c>
      <c r="B11" s="18">
        <v>-1287000</v>
      </c>
      <c r="C11" s="18">
        <v>0</v>
      </c>
      <c r="D11" s="113">
        <f t="shared" si="0"/>
        <v>-1287000</v>
      </c>
      <c r="E11" s="19" t="s">
        <v>4588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4582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4584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4597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4607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4609</v>
      </c>
      <c r="B18" s="18">
        <v>-10000000</v>
      </c>
      <c r="C18" s="18">
        <v>0</v>
      </c>
      <c r="D18" s="113">
        <f t="shared" si="0"/>
        <v>-10000000</v>
      </c>
      <c r="E18" s="20" t="s">
        <v>3771</v>
      </c>
      <c r="F18" s="96">
        <v>19</v>
      </c>
      <c r="G18" s="96">
        <f t="shared" si="1"/>
        <v>-190000000</v>
      </c>
      <c r="H18" s="96">
        <f t="shared" si="2"/>
        <v>0</v>
      </c>
      <c r="I18" s="96">
        <f t="shared" si="3"/>
        <v>-190000000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4611</v>
      </c>
      <c r="B19" s="18">
        <v>-16700000</v>
      </c>
      <c r="C19" s="18">
        <v>0</v>
      </c>
      <c r="D19" s="113">
        <f t="shared" si="0"/>
        <v>-16700000</v>
      </c>
      <c r="E19" s="20" t="s">
        <v>3771</v>
      </c>
      <c r="F19" s="96">
        <v>15</v>
      </c>
      <c r="G19" s="96">
        <f t="shared" si="1"/>
        <v>-250500000</v>
      </c>
      <c r="H19" s="96">
        <f t="shared" si="2"/>
        <v>0</v>
      </c>
      <c r="I19" s="96">
        <f t="shared" si="3"/>
        <v>-250500000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4622</v>
      </c>
      <c r="B20" s="18">
        <v>12000000</v>
      </c>
      <c r="C20" s="18">
        <v>0</v>
      </c>
      <c r="D20" s="113">
        <f t="shared" si="0"/>
        <v>12000000</v>
      </c>
      <c r="E20" s="19" t="s">
        <v>3892</v>
      </c>
      <c r="F20" s="96">
        <v>12</v>
      </c>
      <c r="G20" s="96">
        <f t="shared" si="1"/>
        <v>144000000</v>
      </c>
      <c r="H20" s="96">
        <f t="shared" si="2"/>
        <v>0</v>
      </c>
      <c r="I20" s="96">
        <f t="shared" si="3"/>
        <v>144000000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4626</v>
      </c>
      <c r="B21" s="18">
        <v>1900000</v>
      </c>
      <c r="C21" s="18">
        <v>0</v>
      </c>
      <c r="D21" s="113">
        <f t="shared" si="0"/>
        <v>1900000</v>
      </c>
      <c r="E21" s="19" t="s">
        <v>3892</v>
      </c>
      <c r="F21" s="96">
        <v>11</v>
      </c>
      <c r="G21" s="96">
        <f t="shared" si="1"/>
        <v>20900000</v>
      </c>
      <c r="H21" s="96">
        <f t="shared" si="2"/>
        <v>0</v>
      </c>
      <c r="I21" s="96">
        <f t="shared" si="3"/>
        <v>20900000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4516</v>
      </c>
      <c r="B22" s="18">
        <v>-3995000</v>
      </c>
      <c r="C22" s="18">
        <v>0</v>
      </c>
      <c r="D22" s="113">
        <f t="shared" si="0"/>
        <v>-3995000</v>
      </c>
      <c r="E22" s="19" t="s">
        <v>4628</v>
      </c>
      <c r="F22" s="96">
        <v>12</v>
      </c>
      <c r="G22" s="96">
        <f t="shared" si="1"/>
        <v>-47940000</v>
      </c>
      <c r="H22" s="96">
        <f t="shared" si="2"/>
        <v>0</v>
      </c>
      <c r="I22" s="96">
        <f t="shared" si="3"/>
        <v>-47940000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4524</v>
      </c>
      <c r="B23" s="18">
        <v>-2010700</v>
      </c>
      <c r="C23" s="18">
        <v>0</v>
      </c>
      <c r="D23" s="113">
        <f t="shared" si="0"/>
        <v>-2010700</v>
      </c>
      <c r="E23" s="19" t="s">
        <v>4639</v>
      </c>
      <c r="F23" s="96">
        <v>9</v>
      </c>
      <c r="G23" s="96">
        <f t="shared" si="1"/>
        <v>-18096300</v>
      </c>
      <c r="H23" s="96">
        <f t="shared" si="2"/>
        <v>0</v>
      </c>
      <c r="I23" s="96">
        <f t="shared" si="3"/>
        <v>-18096300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4636</v>
      </c>
      <c r="B24" s="18">
        <v>-4000000</v>
      </c>
      <c r="C24" s="18">
        <v>0</v>
      </c>
      <c r="D24" s="113">
        <f t="shared" si="0"/>
        <v>-4000000</v>
      </c>
      <c r="E24" s="19" t="s">
        <v>3771</v>
      </c>
      <c r="F24" s="96">
        <v>9</v>
      </c>
      <c r="G24" s="96">
        <f t="shared" si="1"/>
        <v>-36000000</v>
      </c>
      <c r="H24" s="96">
        <f t="shared" si="2"/>
        <v>0</v>
      </c>
      <c r="I24" s="96">
        <f t="shared" si="3"/>
        <v>-36000000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4643</v>
      </c>
      <c r="B25" s="18">
        <v>-5700000</v>
      </c>
      <c r="C25" s="18">
        <v>0</v>
      </c>
      <c r="D25" s="113">
        <f t="shared" si="0"/>
        <v>-5700000</v>
      </c>
      <c r="E25" s="19" t="s">
        <v>3771</v>
      </c>
      <c r="F25" s="96">
        <v>8</v>
      </c>
      <c r="G25" s="96">
        <f t="shared" si="1"/>
        <v>-45600000</v>
      </c>
      <c r="H25" s="96">
        <f t="shared" si="2"/>
        <v>0</v>
      </c>
      <c r="I25" s="96">
        <f t="shared" si="3"/>
        <v>-45600000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4525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4528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4539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4539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4539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6728665</v>
      </c>
      <c r="C32" s="113">
        <f>SUM(C2:C31)</f>
        <v>0</v>
      </c>
      <c r="D32" s="113">
        <f>SUM(D2:D31)</f>
        <v>6728665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352191040</v>
      </c>
      <c r="H33" s="18">
        <f>SUM(H2:H31)</f>
        <v>0</v>
      </c>
      <c r="I33" s="18">
        <f>SUM(I2:I31)</f>
        <v>352191040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4569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4574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4589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4598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>
        <v>2010700</v>
      </c>
      <c r="E46" s="122" t="s">
        <v>4640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3172403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zoomScaleNormal="100" workbookViewId="0">
      <pane ySplit="1" topLeftCell="A272" activePane="bottomLeft" state="frozen"/>
      <selection pane="bottomLeft" activeCell="B289" sqref="B289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1009</v>
      </c>
      <c r="H2" s="36">
        <f>IF(B2&gt;0,1,0)</f>
        <v>1</v>
      </c>
      <c r="I2" s="11">
        <f>B2*(G2-H2)</f>
        <v>16833600</v>
      </c>
      <c r="J2" s="53">
        <f>C2*(G2-H2)</f>
        <v>16833600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1008</v>
      </c>
      <c r="H3" s="36">
        <f t="shared" ref="H3:H66" si="2">IF(B3&gt;0,1,0)</f>
        <v>1</v>
      </c>
      <c r="I3" s="11">
        <f t="shared" ref="I3:I66" si="3">B3*(G3-H3)</f>
        <v>20039300000</v>
      </c>
      <c r="J3" s="53">
        <f t="shared" ref="J3:J66" si="4">C3*(G3-H3)</f>
        <v>11466709000</v>
      </c>
      <c r="K3" s="53">
        <f t="shared" ref="K3:K66" si="5">D3*(G3-H3)</f>
        <v>8572591000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1008</v>
      </c>
      <c r="H4" s="36">
        <f t="shared" si="2"/>
        <v>0</v>
      </c>
      <c r="I4" s="11">
        <f t="shared" si="3"/>
        <v>0</v>
      </c>
      <c r="J4" s="53">
        <f t="shared" si="4"/>
        <v>8568000</v>
      </c>
      <c r="K4" s="53">
        <f t="shared" si="5"/>
        <v>-8568000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1006</v>
      </c>
      <c r="H5" s="36">
        <f t="shared" si="2"/>
        <v>1</v>
      </c>
      <c r="I5" s="11">
        <f t="shared" si="3"/>
        <v>2010000000</v>
      </c>
      <c r="J5" s="53">
        <f t="shared" si="4"/>
        <v>0</v>
      </c>
      <c r="K5" s="53">
        <f t="shared" si="5"/>
        <v>2010000000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999</v>
      </c>
      <c r="H6" s="36">
        <f t="shared" si="2"/>
        <v>0</v>
      </c>
      <c r="I6" s="11">
        <f t="shared" si="3"/>
        <v>-4995000</v>
      </c>
      <c r="J6" s="53">
        <f t="shared" si="4"/>
        <v>0</v>
      </c>
      <c r="K6" s="53">
        <f t="shared" si="5"/>
        <v>-4995000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995</v>
      </c>
      <c r="H7" s="36">
        <f t="shared" si="2"/>
        <v>0</v>
      </c>
      <c r="I7" s="11">
        <f t="shared" si="3"/>
        <v>-1194497500</v>
      </c>
      <c r="J7" s="53">
        <f t="shared" si="4"/>
        <v>0</v>
      </c>
      <c r="K7" s="53">
        <f t="shared" si="5"/>
        <v>-1194497500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994</v>
      </c>
      <c r="H8" s="36">
        <f t="shared" si="2"/>
        <v>0</v>
      </c>
      <c r="I8" s="11">
        <f t="shared" si="3"/>
        <v>-198800000</v>
      </c>
      <c r="J8" s="53">
        <f t="shared" si="4"/>
        <v>0</v>
      </c>
      <c r="K8" s="53">
        <f t="shared" si="5"/>
        <v>-198800000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992</v>
      </c>
      <c r="H9" s="36">
        <f t="shared" si="2"/>
        <v>0</v>
      </c>
      <c r="I9" s="11">
        <f t="shared" si="3"/>
        <v>-699856000</v>
      </c>
      <c r="J9" s="53">
        <f t="shared" si="4"/>
        <v>0</v>
      </c>
      <c r="K9" s="53">
        <f t="shared" si="5"/>
        <v>-699856000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983</v>
      </c>
      <c r="H10" s="36">
        <f t="shared" si="2"/>
        <v>0</v>
      </c>
      <c r="I10" s="11">
        <f t="shared" si="3"/>
        <v>-196600000</v>
      </c>
      <c r="J10" s="53">
        <f t="shared" si="4"/>
        <v>0</v>
      </c>
      <c r="K10" s="53">
        <f t="shared" si="5"/>
        <v>-196600000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983</v>
      </c>
      <c r="H11" s="36">
        <f t="shared" si="2"/>
        <v>1</v>
      </c>
      <c r="I11" s="11">
        <f t="shared" si="3"/>
        <v>982000000</v>
      </c>
      <c r="J11" s="53">
        <f t="shared" si="4"/>
        <v>0</v>
      </c>
      <c r="K11" s="53">
        <f t="shared" si="5"/>
        <v>982000000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979</v>
      </c>
      <c r="H12" s="36">
        <f t="shared" si="2"/>
        <v>0</v>
      </c>
      <c r="I12" s="11">
        <f t="shared" si="3"/>
        <v>-293700000</v>
      </c>
      <c r="J12" s="53">
        <f t="shared" si="4"/>
        <v>0</v>
      </c>
      <c r="K12" s="53">
        <f t="shared" si="5"/>
        <v>-293700000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974</v>
      </c>
      <c r="H13" s="36">
        <f t="shared" si="2"/>
        <v>0</v>
      </c>
      <c r="I13" s="11">
        <f t="shared" si="3"/>
        <v>-60388000</v>
      </c>
      <c r="J13" s="53">
        <f t="shared" si="4"/>
        <v>0</v>
      </c>
      <c r="K13" s="53">
        <f t="shared" si="5"/>
        <v>-60388000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974</v>
      </c>
      <c r="H14" s="36">
        <f t="shared" si="2"/>
        <v>1</v>
      </c>
      <c r="I14" s="11">
        <f t="shared" si="3"/>
        <v>1946000000</v>
      </c>
      <c r="J14" s="53">
        <f t="shared" si="4"/>
        <v>0</v>
      </c>
      <c r="K14" s="53">
        <f t="shared" si="5"/>
        <v>1946000000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973</v>
      </c>
      <c r="H15" s="36">
        <f t="shared" si="2"/>
        <v>1</v>
      </c>
      <c r="I15" s="11">
        <f t="shared" si="3"/>
        <v>1749600000</v>
      </c>
      <c r="J15" s="53">
        <f t="shared" si="4"/>
        <v>0</v>
      </c>
      <c r="K15" s="53">
        <f t="shared" si="5"/>
        <v>1749600000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973</v>
      </c>
      <c r="H16" s="36">
        <f t="shared" si="2"/>
        <v>0</v>
      </c>
      <c r="I16" s="11">
        <f t="shared" si="3"/>
        <v>-194600000</v>
      </c>
      <c r="J16" s="53">
        <f t="shared" si="4"/>
        <v>0</v>
      </c>
      <c r="K16" s="53">
        <f t="shared" si="5"/>
        <v>-194600000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969</v>
      </c>
      <c r="H17" s="36">
        <f t="shared" si="2"/>
        <v>0</v>
      </c>
      <c r="I17" s="11">
        <f t="shared" si="3"/>
        <v>-1938000000</v>
      </c>
      <c r="J17" s="53">
        <f t="shared" si="4"/>
        <v>0</v>
      </c>
      <c r="K17" s="53">
        <f t="shared" si="5"/>
        <v>-1938000000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968</v>
      </c>
      <c r="H18" s="36">
        <f t="shared" si="2"/>
        <v>0</v>
      </c>
      <c r="I18" s="11">
        <f t="shared" si="3"/>
        <v>-290400000</v>
      </c>
      <c r="J18" s="53">
        <f t="shared" si="4"/>
        <v>0</v>
      </c>
      <c r="K18" s="53">
        <f t="shared" si="5"/>
        <v>-290400000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967</v>
      </c>
      <c r="H19" s="36">
        <f t="shared" si="2"/>
        <v>0</v>
      </c>
      <c r="I19" s="11">
        <f t="shared" si="3"/>
        <v>-193400000</v>
      </c>
      <c r="J19" s="53">
        <f t="shared" si="4"/>
        <v>0</v>
      </c>
      <c r="K19" s="53">
        <f t="shared" si="5"/>
        <v>-193400000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965</v>
      </c>
      <c r="H20" s="36">
        <f t="shared" si="2"/>
        <v>1</v>
      </c>
      <c r="I20" s="11">
        <f t="shared" si="3"/>
        <v>261329796</v>
      </c>
      <c r="J20" s="53">
        <f t="shared" si="4"/>
        <v>142143728</v>
      </c>
      <c r="K20" s="53">
        <f t="shared" si="5"/>
        <v>119186068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963</v>
      </c>
      <c r="H21" s="36">
        <f t="shared" si="2"/>
        <v>0</v>
      </c>
      <c r="I21" s="11">
        <f t="shared" si="3"/>
        <v>-1449989100</v>
      </c>
      <c r="J21" s="53">
        <f t="shared" si="4"/>
        <v>0</v>
      </c>
      <c r="K21" s="53">
        <f t="shared" si="5"/>
        <v>-1449989100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960</v>
      </c>
      <c r="H22" s="36">
        <f t="shared" si="2"/>
        <v>1</v>
      </c>
      <c r="I22" s="11">
        <f t="shared" si="3"/>
        <v>2877000000</v>
      </c>
      <c r="J22" s="53">
        <f t="shared" si="4"/>
        <v>0</v>
      </c>
      <c r="K22" s="53">
        <f t="shared" si="5"/>
        <v>2877000000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959</v>
      </c>
      <c r="H23" s="36">
        <f t="shared" si="2"/>
        <v>1</v>
      </c>
      <c r="I23" s="11">
        <f t="shared" si="3"/>
        <v>958000000</v>
      </c>
      <c r="J23" s="53">
        <f t="shared" si="4"/>
        <v>0</v>
      </c>
      <c r="K23" s="53">
        <f t="shared" si="5"/>
        <v>958000000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958</v>
      </c>
      <c r="H24" s="36">
        <f t="shared" si="2"/>
        <v>0</v>
      </c>
      <c r="I24" s="11">
        <f t="shared" si="3"/>
        <v>-2874862200</v>
      </c>
      <c r="J24" s="53">
        <f t="shared" si="4"/>
        <v>0</v>
      </c>
      <c r="K24" s="53">
        <f t="shared" si="5"/>
        <v>-2874862200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943</v>
      </c>
      <c r="H25" s="36">
        <f t="shared" si="2"/>
        <v>1</v>
      </c>
      <c r="I25" s="11">
        <f t="shared" si="3"/>
        <v>1413000000</v>
      </c>
      <c r="J25" s="53">
        <f t="shared" si="4"/>
        <v>0</v>
      </c>
      <c r="K25" s="53">
        <f t="shared" si="5"/>
        <v>1413000000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935</v>
      </c>
      <c r="H26" s="36">
        <f t="shared" si="2"/>
        <v>0</v>
      </c>
      <c r="I26" s="11">
        <f t="shared" si="3"/>
        <v>-153340000</v>
      </c>
      <c r="J26" s="53">
        <f t="shared" si="4"/>
        <v>0</v>
      </c>
      <c r="K26" s="53">
        <f t="shared" si="5"/>
        <v>-153340000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934</v>
      </c>
      <c r="H27" s="36">
        <f t="shared" si="2"/>
        <v>1</v>
      </c>
      <c r="I27" s="11">
        <f t="shared" si="3"/>
        <v>186033669</v>
      </c>
      <c r="J27" s="53">
        <f t="shared" si="4"/>
        <v>100216329</v>
      </c>
      <c r="K27" s="53">
        <f t="shared" si="5"/>
        <v>85817340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932</v>
      </c>
      <c r="H28" s="36">
        <f t="shared" si="2"/>
        <v>0</v>
      </c>
      <c r="I28" s="11">
        <f t="shared" si="3"/>
        <v>-205972000</v>
      </c>
      <c r="J28" s="53">
        <f t="shared" si="4"/>
        <v>-205972000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932</v>
      </c>
      <c r="H29" s="36">
        <f t="shared" si="2"/>
        <v>0</v>
      </c>
      <c r="I29" s="11">
        <f t="shared" si="3"/>
        <v>-466466000</v>
      </c>
      <c r="J29" s="53">
        <f t="shared" si="4"/>
        <v>0</v>
      </c>
      <c r="K29" s="53">
        <f t="shared" si="5"/>
        <v>-466466000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932</v>
      </c>
      <c r="H30" s="36">
        <f t="shared" si="2"/>
        <v>0</v>
      </c>
      <c r="I30" s="11">
        <f t="shared" si="3"/>
        <v>-13980000000</v>
      </c>
      <c r="J30" s="53">
        <f t="shared" si="4"/>
        <v>-13980000000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915</v>
      </c>
      <c r="H31" s="36">
        <f t="shared" si="2"/>
        <v>0</v>
      </c>
      <c r="I31" s="11">
        <f t="shared" si="3"/>
        <v>-2754973500</v>
      </c>
      <c r="J31" s="53">
        <f t="shared" si="4"/>
        <v>0</v>
      </c>
      <c r="K31" s="53">
        <f t="shared" si="5"/>
        <v>-2754973500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913</v>
      </c>
      <c r="H32" s="36">
        <f t="shared" si="2"/>
        <v>0</v>
      </c>
      <c r="I32" s="11">
        <f t="shared" si="3"/>
        <v>-2744386700</v>
      </c>
      <c r="J32" s="53">
        <f t="shared" si="4"/>
        <v>0</v>
      </c>
      <c r="K32" s="53">
        <f t="shared" si="5"/>
        <v>-2744386700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912</v>
      </c>
      <c r="H33" s="36">
        <f t="shared" si="2"/>
        <v>0</v>
      </c>
      <c r="I33" s="11">
        <f t="shared" si="3"/>
        <v>-816696000</v>
      </c>
      <c r="J33" s="53">
        <f t="shared" si="4"/>
        <v>0</v>
      </c>
      <c r="K33" s="53">
        <f t="shared" si="5"/>
        <v>-816696000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912</v>
      </c>
      <c r="H34" s="36">
        <f t="shared" si="2"/>
        <v>0</v>
      </c>
      <c r="I34" s="11">
        <f t="shared" si="3"/>
        <v>0</v>
      </c>
      <c r="J34" s="53">
        <f t="shared" si="4"/>
        <v>912000000</v>
      </c>
      <c r="K34" s="53">
        <f t="shared" si="5"/>
        <v>-912000000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903</v>
      </c>
      <c r="H35" s="36">
        <f t="shared" si="2"/>
        <v>1</v>
      </c>
      <c r="I35" s="11">
        <f t="shared" si="3"/>
        <v>47329744</v>
      </c>
      <c r="J35" s="53">
        <f t="shared" si="4"/>
        <v>-19540026</v>
      </c>
      <c r="K35" s="53">
        <f t="shared" si="5"/>
        <v>66869770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903</v>
      </c>
      <c r="H36" s="36">
        <f t="shared" si="2"/>
        <v>0</v>
      </c>
      <c r="I36" s="11">
        <f t="shared" si="3"/>
        <v>0</v>
      </c>
      <c r="J36" s="53">
        <f t="shared" si="4"/>
        <v>19561689</v>
      </c>
      <c r="K36" s="53">
        <f t="shared" si="5"/>
        <v>-19561689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893</v>
      </c>
      <c r="H37" s="36">
        <f t="shared" si="2"/>
        <v>0</v>
      </c>
      <c r="I37" s="11">
        <f t="shared" si="3"/>
        <v>-49115000</v>
      </c>
      <c r="J37" s="53">
        <f t="shared" si="4"/>
        <v>0</v>
      </c>
      <c r="K37" s="53">
        <f t="shared" si="5"/>
        <v>-49115000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892</v>
      </c>
      <c r="H38" s="36">
        <f t="shared" si="2"/>
        <v>1</v>
      </c>
      <c r="I38" s="11">
        <f t="shared" si="3"/>
        <v>2673000000</v>
      </c>
      <c r="J38" s="53">
        <f t="shared" si="4"/>
        <v>2673000000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891</v>
      </c>
      <c r="H39" s="36">
        <f t="shared" si="2"/>
        <v>1</v>
      </c>
      <c r="I39" s="11">
        <f t="shared" si="3"/>
        <v>2225000000</v>
      </c>
      <c r="J39" s="53">
        <f t="shared" si="4"/>
        <v>2225000000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891</v>
      </c>
      <c r="H40" s="36">
        <f t="shared" si="2"/>
        <v>0</v>
      </c>
      <c r="I40" s="11">
        <f t="shared" si="3"/>
        <v>-44550000</v>
      </c>
      <c r="J40" s="53">
        <f t="shared" si="4"/>
        <v>0</v>
      </c>
      <c r="K40" s="53">
        <f t="shared" si="5"/>
        <v>-44550000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891</v>
      </c>
      <c r="H41" s="36">
        <f t="shared" si="2"/>
        <v>1</v>
      </c>
      <c r="I41" s="11">
        <f t="shared" si="3"/>
        <v>2670000000</v>
      </c>
      <c r="J41" s="53">
        <f t="shared" si="4"/>
        <v>0</v>
      </c>
      <c r="K41" s="53">
        <f t="shared" si="5"/>
        <v>2670000000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888</v>
      </c>
      <c r="H42" s="36">
        <f t="shared" si="2"/>
        <v>0</v>
      </c>
      <c r="I42" s="11">
        <f t="shared" si="3"/>
        <v>-79209600</v>
      </c>
      <c r="J42" s="53">
        <f t="shared" si="4"/>
        <v>0</v>
      </c>
      <c r="K42" s="53">
        <f t="shared" si="5"/>
        <v>-79209600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884</v>
      </c>
      <c r="H43" s="36">
        <f t="shared" si="2"/>
        <v>0</v>
      </c>
      <c r="I43" s="11">
        <f t="shared" si="3"/>
        <v>-176800000</v>
      </c>
      <c r="J43" s="53">
        <f t="shared" si="4"/>
        <v>0</v>
      </c>
      <c r="K43" s="53">
        <f t="shared" si="5"/>
        <v>-176800000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882</v>
      </c>
      <c r="H44" s="36">
        <f t="shared" si="2"/>
        <v>0</v>
      </c>
      <c r="I44" s="11">
        <f t="shared" si="3"/>
        <v>-176400000</v>
      </c>
      <c r="J44" s="53">
        <f t="shared" si="4"/>
        <v>0</v>
      </c>
      <c r="K44" s="53">
        <f t="shared" si="5"/>
        <v>-176400000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882</v>
      </c>
      <c r="H45" s="36">
        <f t="shared" si="2"/>
        <v>0</v>
      </c>
      <c r="I45" s="11">
        <f t="shared" si="3"/>
        <v>-493920000</v>
      </c>
      <c r="J45" s="53">
        <f t="shared" si="4"/>
        <v>0</v>
      </c>
      <c r="K45" s="53">
        <f t="shared" si="5"/>
        <v>-493920000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878</v>
      </c>
      <c r="H46" s="36">
        <f t="shared" si="2"/>
        <v>0</v>
      </c>
      <c r="I46" s="11">
        <f t="shared" si="3"/>
        <v>-619429000</v>
      </c>
      <c r="J46" s="53">
        <f t="shared" si="4"/>
        <v>0</v>
      </c>
      <c r="K46" s="53">
        <f t="shared" si="5"/>
        <v>-619429000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872</v>
      </c>
      <c r="H47" s="36">
        <f t="shared" si="2"/>
        <v>1</v>
      </c>
      <c r="I47" s="11">
        <f t="shared" si="3"/>
        <v>35888684</v>
      </c>
      <c r="J47" s="53">
        <f t="shared" si="4"/>
        <v>5847023</v>
      </c>
      <c r="K47" s="53">
        <f t="shared" si="5"/>
        <v>30041661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872</v>
      </c>
      <c r="H48" s="36">
        <f t="shared" si="2"/>
        <v>1</v>
      </c>
      <c r="I48" s="11">
        <f t="shared" si="3"/>
        <v>1484793700</v>
      </c>
      <c r="J48" s="53">
        <f t="shared" si="4"/>
        <v>0</v>
      </c>
      <c r="K48" s="53">
        <f t="shared" si="5"/>
        <v>1484793700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863</v>
      </c>
      <c r="H49" s="36">
        <f t="shared" si="2"/>
        <v>0</v>
      </c>
      <c r="I49" s="11">
        <f t="shared" si="3"/>
        <v>-133765000</v>
      </c>
      <c r="J49" s="53">
        <f t="shared" si="4"/>
        <v>0</v>
      </c>
      <c r="K49" s="53">
        <f t="shared" si="5"/>
        <v>-133765000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863</v>
      </c>
      <c r="H50" s="36">
        <f t="shared" si="2"/>
        <v>0</v>
      </c>
      <c r="I50" s="11">
        <f t="shared" si="3"/>
        <v>-119094000</v>
      </c>
      <c r="J50" s="53">
        <f t="shared" si="4"/>
        <v>0</v>
      </c>
      <c r="K50" s="53">
        <f t="shared" si="5"/>
        <v>-119094000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863</v>
      </c>
      <c r="H51" s="36">
        <f t="shared" si="2"/>
        <v>0</v>
      </c>
      <c r="I51" s="11">
        <f t="shared" si="3"/>
        <v>-638620000</v>
      </c>
      <c r="J51" s="53">
        <f t="shared" si="4"/>
        <v>0</v>
      </c>
      <c r="K51" s="53">
        <f t="shared" si="5"/>
        <v>-638620000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863</v>
      </c>
      <c r="H52" s="36">
        <f t="shared" si="2"/>
        <v>0</v>
      </c>
      <c r="I52" s="11">
        <f t="shared" si="3"/>
        <v>-172600000</v>
      </c>
      <c r="J52" s="53">
        <f t="shared" si="4"/>
        <v>0</v>
      </c>
      <c r="K52" s="53">
        <f t="shared" si="5"/>
        <v>-172600000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862</v>
      </c>
      <c r="H53" s="36">
        <f t="shared" si="2"/>
        <v>0</v>
      </c>
      <c r="I53" s="11">
        <f t="shared" si="3"/>
        <v>-909410000</v>
      </c>
      <c r="J53" s="53">
        <f t="shared" si="4"/>
        <v>0</v>
      </c>
      <c r="K53" s="53">
        <f t="shared" si="5"/>
        <v>-909410000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862</v>
      </c>
      <c r="H54" s="36">
        <f t="shared" si="2"/>
        <v>0</v>
      </c>
      <c r="I54" s="11">
        <f t="shared" si="3"/>
        <v>-172400000</v>
      </c>
      <c r="J54" s="53">
        <f t="shared" si="4"/>
        <v>0</v>
      </c>
      <c r="K54" s="53">
        <f t="shared" si="5"/>
        <v>-172400000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862</v>
      </c>
      <c r="H55" s="36">
        <f t="shared" si="2"/>
        <v>0</v>
      </c>
      <c r="I55" s="11">
        <f t="shared" si="3"/>
        <v>-862431000</v>
      </c>
      <c r="J55" s="53">
        <f t="shared" si="4"/>
        <v>0</v>
      </c>
      <c r="K55" s="53">
        <f t="shared" si="5"/>
        <v>-862431000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862</v>
      </c>
      <c r="H56" s="36">
        <f t="shared" si="2"/>
        <v>0</v>
      </c>
      <c r="I56" s="11">
        <f t="shared" si="3"/>
        <v>-32756000</v>
      </c>
      <c r="J56" s="53">
        <f t="shared" si="4"/>
        <v>0</v>
      </c>
      <c r="K56" s="53">
        <f t="shared" si="5"/>
        <v>-32756000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862</v>
      </c>
      <c r="H57" s="36">
        <f t="shared" si="2"/>
        <v>0</v>
      </c>
      <c r="I57" s="11">
        <f t="shared" si="3"/>
        <v>-90510000</v>
      </c>
      <c r="J57" s="53">
        <f t="shared" si="4"/>
        <v>0</v>
      </c>
      <c r="K57" s="53">
        <f t="shared" si="5"/>
        <v>-90510000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862</v>
      </c>
      <c r="H58" s="36">
        <f t="shared" si="2"/>
        <v>0</v>
      </c>
      <c r="I58" s="11">
        <f t="shared" si="3"/>
        <v>-51720000</v>
      </c>
      <c r="J58" s="53">
        <f t="shared" si="4"/>
        <v>0</v>
      </c>
      <c r="K58" s="53">
        <f t="shared" si="5"/>
        <v>-51720000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859</v>
      </c>
      <c r="H59" s="36">
        <f t="shared" si="2"/>
        <v>1</v>
      </c>
      <c r="I59" s="11">
        <f t="shared" si="3"/>
        <v>858000000</v>
      </c>
      <c r="J59" s="53">
        <f t="shared" si="4"/>
        <v>858000000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858</v>
      </c>
      <c r="H60" s="36">
        <f t="shared" si="2"/>
        <v>1</v>
      </c>
      <c r="I60" s="11">
        <f t="shared" si="3"/>
        <v>2999500000</v>
      </c>
      <c r="J60" s="53">
        <f t="shared" si="4"/>
        <v>2999500000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856</v>
      </c>
      <c r="H61" s="36">
        <f t="shared" si="2"/>
        <v>1</v>
      </c>
      <c r="I61" s="11">
        <f t="shared" si="3"/>
        <v>855000000</v>
      </c>
      <c r="J61" s="53">
        <f t="shared" si="4"/>
        <v>855000000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856</v>
      </c>
      <c r="H62" s="36">
        <f t="shared" si="2"/>
        <v>1</v>
      </c>
      <c r="I62" s="11">
        <f t="shared" si="3"/>
        <v>2565000000</v>
      </c>
      <c r="J62" s="53">
        <f t="shared" si="4"/>
        <v>2565000000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854</v>
      </c>
      <c r="H63" s="36">
        <f t="shared" si="2"/>
        <v>0</v>
      </c>
      <c r="I63" s="11">
        <f t="shared" si="3"/>
        <v>-170800000</v>
      </c>
      <c r="J63" s="53">
        <f t="shared" si="4"/>
        <v>0</v>
      </c>
      <c r="K63" s="53">
        <f t="shared" si="5"/>
        <v>-170800000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849</v>
      </c>
      <c r="H64" s="36">
        <f t="shared" si="2"/>
        <v>0</v>
      </c>
      <c r="I64" s="11">
        <f t="shared" si="3"/>
        <v>-42450000</v>
      </c>
      <c r="J64" s="53">
        <f t="shared" si="4"/>
        <v>0</v>
      </c>
      <c r="K64" s="53">
        <f t="shared" si="5"/>
        <v>-42450000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845</v>
      </c>
      <c r="H65" s="36">
        <f t="shared" si="2"/>
        <v>0</v>
      </c>
      <c r="I65" s="11">
        <f t="shared" si="3"/>
        <v>-169000000</v>
      </c>
      <c r="J65" s="53">
        <f t="shared" si="4"/>
        <v>0</v>
      </c>
      <c r="K65" s="53">
        <f t="shared" si="5"/>
        <v>-169000000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842</v>
      </c>
      <c r="H66" s="36">
        <f t="shared" si="2"/>
        <v>0</v>
      </c>
      <c r="I66" s="11">
        <f t="shared" si="3"/>
        <v>-143140000</v>
      </c>
      <c r="J66" s="53">
        <f t="shared" si="4"/>
        <v>0</v>
      </c>
      <c r="K66" s="53">
        <f t="shared" si="5"/>
        <v>-143140000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841</v>
      </c>
      <c r="H67" s="36">
        <f t="shared" ref="H67:H131" si="8">IF(B67&gt;0,1,0)</f>
        <v>1</v>
      </c>
      <c r="I67" s="11">
        <f t="shared" ref="I67:I119" si="9">B67*(G67-H67)</f>
        <v>76713000</v>
      </c>
      <c r="J67" s="53">
        <f t="shared" ref="J67:J131" si="10">C67*(G67-H67)</f>
        <v>55207320</v>
      </c>
      <c r="K67" s="53">
        <f t="shared" ref="K67:K131" si="11">D67*(G67-H67)</f>
        <v>21505680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823</v>
      </c>
      <c r="H68" s="36">
        <f t="shared" si="8"/>
        <v>0</v>
      </c>
      <c r="I68" s="11">
        <f t="shared" si="9"/>
        <v>-119335000</v>
      </c>
      <c r="J68" s="53">
        <f t="shared" si="10"/>
        <v>0</v>
      </c>
      <c r="K68" s="53">
        <f t="shared" si="11"/>
        <v>-119335000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816</v>
      </c>
      <c r="H69" s="36">
        <f t="shared" si="8"/>
        <v>1</v>
      </c>
      <c r="I69" s="11">
        <f t="shared" si="9"/>
        <v>798700000</v>
      </c>
      <c r="J69" s="53">
        <f t="shared" si="10"/>
        <v>0</v>
      </c>
      <c r="K69" s="53">
        <f t="shared" si="11"/>
        <v>798700000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813</v>
      </c>
      <c r="H70" s="36">
        <f t="shared" si="8"/>
        <v>0</v>
      </c>
      <c r="I70" s="11">
        <f t="shared" si="9"/>
        <v>-37398000</v>
      </c>
      <c r="J70" s="53">
        <f t="shared" si="10"/>
        <v>0</v>
      </c>
      <c r="K70" s="53">
        <f t="shared" si="11"/>
        <v>-37398000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811</v>
      </c>
      <c r="H71" s="36">
        <f t="shared" si="8"/>
        <v>1</v>
      </c>
      <c r="I71" s="11">
        <f t="shared" si="9"/>
        <v>93423780</v>
      </c>
      <c r="J71" s="53">
        <f t="shared" si="10"/>
        <v>84087720</v>
      </c>
      <c r="K71" s="53">
        <f t="shared" si="11"/>
        <v>9336060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810</v>
      </c>
      <c r="H72" s="36">
        <f t="shared" si="8"/>
        <v>0</v>
      </c>
      <c r="I72" s="11">
        <f t="shared" si="9"/>
        <v>-123094890</v>
      </c>
      <c r="J72" s="53">
        <f t="shared" si="10"/>
        <v>0</v>
      </c>
      <c r="K72" s="53">
        <f t="shared" si="11"/>
        <v>-123094890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809</v>
      </c>
      <c r="H73" s="36">
        <f t="shared" si="8"/>
        <v>0</v>
      </c>
      <c r="I73" s="11">
        <f t="shared" si="9"/>
        <v>-651649500</v>
      </c>
      <c r="J73" s="53">
        <f t="shared" si="10"/>
        <v>0</v>
      </c>
      <c r="K73" s="53">
        <f t="shared" si="11"/>
        <v>-651649500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802</v>
      </c>
      <c r="H74" s="36">
        <f t="shared" si="8"/>
        <v>1</v>
      </c>
      <c r="I74" s="11">
        <f t="shared" si="9"/>
        <v>5602995000</v>
      </c>
      <c r="J74" s="53">
        <f t="shared" si="10"/>
        <v>0</v>
      </c>
      <c r="K74" s="53">
        <f t="shared" si="11"/>
        <v>5602995000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801</v>
      </c>
      <c r="H75" s="36">
        <f t="shared" si="8"/>
        <v>1</v>
      </c>
      <c r="I75" s="11">
        <f t="shared" si="9"/>
        <v>2400000000</v>
      </c>
      <c r="J75" s="53">
        <f t="shared" si="10"/>
        <v>0</v>
      </c>
      <c r="K75" s="53">
        <f t="shared" si="11"/>
        <v>2400000000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799</v>
      </c>
      <c r="H76" s="36">
        <f t="shared" si="8"/>
        <v>1</v>
      </c>
      <c r="I76" s="11">
        <f t="shared" si="9"/>
        <v>2394000000</v>
      </c>
      <c r="J76" s="53">
        <f t="shared" si="10"/>
        <v>0</v>
      </c>
      <c r="K76" s="53">
        <f t="shared" si="11"/>
        <v>2394000000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798</v>
      </c>
      <c r="H77" s="36">
        <f t="shared" si="8"/>
        <v>1</v>
      </c>
      <c r="I77" s="11">
        <f t="shared" si="9"/>
        <v>2391000000</v>
      </c>
      <c r="J77" s="53">
        <f t="shared" si="10"/>
        <v>0</v>
      </c>
      <c r="K77" s="53">
        <f t="shared" si="11"/>
        <v>2391000000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797</v>
      </c>
      <c r="H78" s="36">
        <f t="shared" si="8"/>
        <v>0</v>
      </c>
      <c r="I78" s="11">
        <f t="shared" si="9"/>
        <v>-2550400000</v>
      </c>
      <c r="J78" s="53">
        <f t="shared" si="10"/>
        <v>-2550400000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796</v>
      </c>
      <c r="H79" s="36">
        <f t="shared" si="8"/>
        <v>0</v>
      </c>
      <c r="I79" s="11">
        <f t="shared" si="9"/>
        <v>-636800000</v>
      </c>
      <c r="J79" s="53">
        <f t="shared" si="10"/>
        <v>-636800000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795</v>
      </c>
      <c r="H80" s="36">
        <f t="shared" si="8"/>
        <v>0</v>
      </c>
      <c r="I80" s="11">
        <f t="shared" si="9"/>
        <v>-38472435</v>
      </c>
      <c r="J80" s="53">
        <f t="shared" si="10"/>
        <v>0</v>
      </c>
      <c r="K80" s="53">
        <f t="shared" si="11"/>
        <v>-38472435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794</v>
      </c>
      <c r="H81" s="36">
        <f t="shared" si="8"/>
        <v>0</v>
      </c>
      <c r="I81" s="11">
        <f t="shared" si="9"/>
        <v>-111160000</v>
      </c>
      <c r="J81" s="53">
        <f t="shared" si="10"/>
        <v>0</v>
      </c>
      <c r="K81" s="53">
        <f t="shared" si="11"/>
        <v>-111160000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793</v>
      </c>
      <c r="H82" s="36">
        <f t="shared" si="8"/>
        <v>0</v>
      </c>
      <c r="I82" s="11">
        <f t="shared" si="9"/>
        <v>-198250000</v>
      </c>
      <c r="J82" s="53">
        <f t="shared" si="10"/>
        <v>0</v>
      </c>
      <c r="K82" s="53">
        <f t="shared" si="11"/>
        <v>-198250000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792</v>
      </c>
      <c r="H83" s="36">
        <f t="shared" si="8"/>
        <v>0</v>
      </c>
      <c r="I83" s="11">
        <f t="shared" si="9"/>
        <v>-158400000</v>
      </c>
      <c r="J83" s="53">
        <f t="shared" si="10"/>
        <v>0</v>
      </c>
      <c r="K83" s="53">
        <f t="shared" si="11"/>
        <v>-158400000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789</v>
      </c>
      <c r="H84" s="36">
        <f t="shared" si="8"/>
        <v>1</v>
      </c>
      <c r="I84" s="11">
        <f t="shared" si="9"/>
        <v>1288537600</v>
      </c>
      <c r="J84" s="53">
        <f t="shared" si="10"/>
        <v>0</v>
      </c>
      <c r="K84" s="53">
        <f t="shared" si="11"/>
        <v>1288537600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785</v>
      </c>
      <c r="H85" s="36">
        <f t="shared" si="8"/>
        <v>1</v>
      </c>
      <c r="I85" s="11">
        <f t="shared" si="9"/>
        <v>1960000000</v>
      </c>
      <c r="J85" s="53">
        <f t="shared" si="10"/>
        <v>0</v>
      </c>
      <c r="K85" s="53">
        <f t="shared" si="11"/>
        <v>1960000000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781</v>
      </c>
      <c r="H86" s="36">
        <f t="shared" si="8"/>
        <v>1</v>
      </c>
      <c r="I86" s="11">
        <f t="shared" si="9"/>
        <v>145314000</v>
      </c>
      <c r="J86" s="53">
        <f t="shared" si="10"/>
        <v>66261000</v>
      </c>
      <c r="K86" s="53">
        <f t="shared" si="11"/>
        <v>79053000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778</v>
      </c>
      <c r="H87" s="36">
        <f t="shared" si="8"/>
        <v>0</v>
      </c>
      <c r="I87" s="11">
        <f t="shared" si="9"/>
        <v>-155600000</v>
      </c>
      <c r="J87" s="53">
        <f t="shared" si="10"/>
        <v>0</v>
      </c>
      <c r="K87" s="53">
        <f t="shared" si="11"/>
        <v>-155600000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777</v>
      </c>
      <c r="H88" s="36">
        <f t="shared" si="8"/>
        <v>0</v>
      </c>
      <c r="I88" s="11">
        <f t="shared" si="9"/>
        <v>-91686000</v>
      </c>
      <c r="J88" s="53">
        <f t="shared" si="10"/>
        <v>-53613000</v>
      </c>
      <c r="K88" s="53">
        <f t="shared" si="11"/>
        <v>-38073000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769</v>
      </c>
      <c r="H89" s="36">
        <f t="shared" si="8"/>
        <v>0</v>
      </c>
      <c r="I89" s="11">
        <f t="shared" si="9"/>
        <v>-2461492100</v>
      </c>
      <c r="J89" s="53">
        <f t="shared" si="10"/>
        <v>0</v>
      </c>
      <c r="K89" s="53">
        <f t="shared" si="11"/>
        <v>-2461492100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768</v>
      </c>
      <c r="H90" s="36">
        <f t="shared" si="8"/>
        <v>0</v>
      </c>
      <c r="I90" s="11">
        <f t="shared" si="9"/>
        <v>-2458291200</v>
      </c>
      <c r="J90" s="53">
        <f t="shared" si="10"/>
        <v>0</v>
      </c>
      <c r="K90" s="53">
        <f t="shared" si="11"/>
        <v>-2458291200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767</v>
      </c>
      <c r="H91" s="36">
        <f t="shared" si="8"/>
        <v>0</v>
      </c>
      <c r="I91" s="11">
        <f t="shared" si="9"/>
        <v>-2455090300</v>
      </c>
      <c r="J91" s="53">
        <f t="shared" si="10"/>
        <v>0</v>
      </c>
      <c r="K91" s="53">
        <f t="shared" si="11"/>
        <v>-2455090300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766</v>
      </c>
      <c r="H92" s="36">
        <f t="shared" si="8"/>
        <v>0</v>
      </c>
      <c r="I92" s="11">
        <f t="shared" si="9"/>
        <v>-2451889400</v>
      </c>
      <c r="J92" s="53">
        <f t="shared" si="10"/>
        <v>0</v>
      </c>
      <c r="K92" s="53">
        <f t="shared" si="11"/>
        <v>-2451889400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765</v>
      </c>
      <c r="H93" s="36">
        <f t="shared" si="8"/>
        <v>0</v>
      </c>
      <c r="I93" s="11">
        <f t="shared" si="9"/>
        <v>-2448688500</v>
      </c>
      <c r="J93" s="53">
        <f t="shared" si="10"/>
        <v>0</v>
      </c>
      <c r="K93" s="53">
        <f t="shared" si="11"/>
        <v>-2448688500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764</v>
      </c>
      <c r="H94" s="36">
        <f t="shared" si="8"/>
        <v>0</v>
      </c>
      <c r="I94" s="11">
        <f t="shared" si="9"/>
        <v>-2445487600</v>
      </c>
      <c r="J94" s="53">
        <f t="shared" si="10"/>
        <v>0</v>
      </c>
      <c r="K94" s="53">
        <f t="shared" si="11"/>
        <v>-2445487600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762</v>
      </c>
      <c r="H95" s="36">
        <f t="shared" si="8"/>
        <v>0</v>
      </c>
      <c r="I95" s="11">
        <f t="shared" si="9"/>
        <v>-911806152</v>
      </c>
      <c r="J95" s="53">
        <f t="shared" si="10"/>
        <v>0</v>
      </c>
      <c r="K95" s="53">
        <f t="shared" si="11"/>
        <v>-911806152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752</v>
      </c>
      <c r="H96" s="36">
        <f t="shared" si="8"/>
        <v>0</v>
      </c>
      <c r="I96" s="11">
        <f t="shared" si="9"/>
        <v>-150400000</v>
      </c>
      <c r="J96" s="53">
        <f t="shared" si="10"/>
        <v>0</v>
      </c>
      <c r="K96" s="53">
        <f t="shared" si="11"/>
        <v>-150400000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751</v>
      </c>
      <c r="H97" s="36">
        <f t="shared" si="8"/>
        <v>1</v>
      </c>
      <c r="I97" s="11">
        <f t="shared" si="9"/>
        <v>119668500</v>
      </c>
      <c r="J97" s="53">
        <f t="shared" si="10"/>
        <v>51694500</v>
      </c>
      <c r="K97" s="53">
        <f t="shared" si="11"/>
        <v>67974000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746</v>
      </c>
      <c r="H98" s="36">
        <f t="shared" si="8"/>
        <v>1</v>
      </c>
      <c r="I98" s="11">
        <f t="shared" si="9"/>
        <v>85204160</v>
      </c>
      <c r="J98" s="53">
        <f t="shared" si="10"/>
        <v>0</v>
      </c>
      <c r="K98" s="53">
        <f t="shared" si="11"/>
        <v>85204160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743</v>
      </c>
      <c r="H99" s="36">
        <f t="shared" si="8"/>
        <v>0</v>
      </c>
      <c r="I99" s="11">
        <f t="shared" si="9"/>
        <v>-984475000</v>
      </c>
      <c r="J99" s="53">
        <f t="shared" si="10"/>
        <v>0</v>
      </c>
      <c r="K99" s="53">
        <f t="shared" si="11"/>
        <v>-984475000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738</v>
      </c>
      <c r="H100" s="36">
        <f t="shared" si="8"/>
        <v>1</v>
      </c>
      <c r="I100" s="11">
        <f t="shared" si="9"/>
        <v>976525000</v>
      </c>
      <c r="J100" s="53">
        <f t="shared" si="10"/>
        <v>0</v>
      </c>
      <c r="K100" s="53">
        <f t="shared" si="11"/>
        <v>976525000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721</v>
      </c>
      <c r="H101" s="36">
        <f t="shared" si="8"/>
        <v>1</v>
      </c>
      <c r="I101" s="11">
        <f t="shared" si="9"/>
        <v>48128400</v>
      </c>
      <c r="J101" s="53">
        <f t="shared" si="10"/>
        <v>48128400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718</v>
      </c>
      <c r="H102" s="36">
        <f t="shared" si="8"/>
        <v>1</v>
      </c>
      <c r="I102" s="11">
        <f t="shared" si="9"/>
        <v>2151000000</v>
      </c>
      <c r="J102" s="53">
        <f t="shared" si="10"/>
        <v>0</v>
      </c>
      <c r="K102" s="53">
        <f t="shared" si="11"/>
        <v>2151000000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711</v>
      </c>
      <c r="H103" s="36">
        <f t="shared" si="8"/>
        <v>0</v>
      </c>
      <c r="I103" s="11">
        <f t="shared" si="9"/>
        <v>-711000000</v>
      </c>
      <c r="J103" s="53">
        <f t="shared" si="10"/>
        <v>-711000000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701</v>
      </c>
      <c r="H104" s="36">
        <f t="shared" si="8"/>
        <v>1</v>
      </c>
      <c r="I104" s="11">
        <f t="shared" si="9"/>
        <v>2100000000</v>
      </c>
      <c r="J104" s="53">
        <f t="shared" si="10"/>
        <v>2100000000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700</v>
      </c>
      <c r="H105" s="36">
        <f t="shared" si="8"/>
        <v>1</v>
      </c>
      <c r="I105" s="11">
        <f t="shared" si="9"/>
        <v>782880000</v>
      </c>
      <c r="J105" s="53">
        <f t="shared" si="10"/>
        <v>782880000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700</v>
      </c>
      <c r="H106" s="36">
        <f t="shared" si="8"/>
        <v>0</v>
      </c>
      <c r="I106" s="11">
        <f t="shared" si="9"/>
        <v>-2100000000</v>
      </c>
      <c r="J106" s="53">
        <f t="shared" si="10"/>
        <v>0</v>
      </c>
      <c r="K106" s="53">
        <f t="shared" si="11"/>
        <v>-2100000000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691</v>
      </c>
      <c r="H107" s="36">
        <f t="shared" si="8"/>
        <v>1</v>
      </c>
      <c r="I107" s="11">
        <f t="shared" si="9"/>
        <v>62440860</v>
      </c>
      <c r="J107" s="53">
        <f t="shared" si="10"/>
        <v>51829350</v>
      </c>
      <c r="K107" s="53">
        <f t="shared" si="11"/>
        <v>10611510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689</v>
      </c>
      <c r="H108" s="36">
        <f t="shared" si="8"/>
        <v>0</v>
      </c>
      <c r="I108" s="11">
        <f t="shared" si="9"/>
        <v>-1171782300</v>
      </c>
      <c r="J108" s="53">
        <f t="shared" si="10"/>
        <v>0</v>
      </c>
      <c r="K108" s="53">
        <f t="shared" si="11"/>
        <v>-1171782300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685</v>
      </c>
      <c r="H109" s="36">
        <f t="shared" si="8"/>
        <v>0</v>
      </c>
      <c r="I109" s="11">
        <f t="shared" si="9"/>
        <v>-685342500</v>
      </c>
      <c r="J109" s="53">
        <f t="shared" si="10"/>
        <v>0</v>
      </c>
      <c r="K109" s="53">
        <f t="shared" si="11"/>
        <v>-685342500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682</v>
      </c>
      <c r="H110" s="36">
        <f t="shared" si="8"/>
        <v>1</v>
      </c>
      <c r="I110" s="11">
        <f t="shared" si="9"/>
        <v>13620000000</v>
      </c>
      <c r="J110" s="53">
        <f t="shared" si="10"/>
        <v>0</v>
      </c>
      <c r="K110" s="53">
        <f t="shared" si="11"/>
        <v>13620000000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662</v>
      </c>
      <c r="H111" s="36">
        <f t="shared" si="8"/>
        <v>1</v>
      </c>
      <c r="I111" s="11">
        <f t="shared" si="9"/>
        <v>115462158</v>
      </c>
      <c r="J111" s="53">
        <f t="shared" si="10"/>
        <v>57746943</v>
      </c>
      <c r="K111" s="53">
        <f t="shared" si="11"/>
        <v>57715215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646</v>
      </c>
      <c r="H112" s="36">
        <f t="shared" si="8"/>
        <v>0</v>
      </c>
      <c r="I112" s="11">
        <f t="shared" si="9"/>
        <v>-18346400000</v>
      </c>
      <c r="J112" s="53">
        <f t="shared" si="10"/>
        <v>0</v>
      </c>
      <c r="K112" s="53">
        <f t="shared" si="11"/>
        <v>-18346400000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631</v>
      </c>
      <c r="H113" s="36">
        <f t="shared" si="8"/>
        <v>1</v>
      </c>
      <c r="I113" s="11">
        <f t="shared" si="9"/>
        <v>102715200</v>
      </c>
      <c r="J113" s="53">
        <f t="shared" si="10"/>
        <v>77181930</v>
      </c>
      <c r="K113" s="53">
        <f t="shared" si="11"/>
        <v>25533270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631</v>
      </c>
      <c r="H114" s="36">
        <f t="shared" si="8"/>
        <v>0</v>
      </c>
      <c r="I114" s="11">
        <f t="shared" si="9"/>
        <v>-3596700</v>
      </c>
      <c r="J114" s="53">
        <f t="shared" si="10"/>
        <v>-1577500</v>
      </c>
      <c r="K114" s="53">
        <f t="shared" si="11"/>
        <v>-2019200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618</v>
      </c>
      <c r="H115" s="36">
        <f t="shared" si="8"/>
        <v>0</v>
      </c>
      <c r="I115" s="11">
        <f t="shared" si="9"/>
        <v>0</v>
      </c>
      <c r="J115" s="53">
        <f t="shared" si="10"/>
        <v>309000000</v>
      </c>
      <c r="K115" s="53">
        <f t="shared" si="11"/>
        <v>-309000000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610</v>
      </c>
      <c r="H116" s="36">
        <f t="shared" si="8"/>
        <v>0</v>
      </c>
      <c r="I116" s="11">
        <f t="shared" si="9"/>
        <v>-97600000</v>
      </c>
      <c r="J116" s="53">
        <f t="shared" si="10"/>
        <v>0</v>
      </c>
      <c r="K116" s="53">
        <f t="shared" si="11"/>
        <v>-97600000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601</v>
      </c>
      <c r="H117" s="36">
        <f t="shared" si="8"/>
        <v>1</v>
      </c>
      <c r="I117" s="11">
        <f t="shared" si="9"/>
        <v>888000</v>
      </c>
      <c r="J117" s="53">
        <f t="shared" si="10"/>
        <v>64164600</v>
      </c>
      <c r="K117" s="53">
        <f t="shared" si="11"/>
        <v>-63276600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579</v>
      </c>
      <c r="H118" s="36">
        <f t="shared" si="8"/>
        <v>1</v>
      </c>
      <c r="I118" s="11">
        <f t="shared" si="9"/>
        <v>22772911000</v>
      </c>
      <c r="J118" s="53">
        <f t="shared" si="10"/>
        <v>0</v>
      </c>
      <c r="K118" s="53">
        <f t="shared" si="11"/>
        <v>22772911000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570</v>
      </c>
      <c r="H119" s="36">
        <f t="shared" si="8"/>
        <v>1</v>
      </c>
      <c r="I119" s="11">
        <f t="shared" si="9"/>
        <v>54351449</v>
      </c>
      <c r="J119" s="53">
        <f t="shared" si="10"/>
        <v>62620726</v>
      </c>
      <c r="K119" s="53">
        <f t="shared" si="11"/>
        <v>-8269277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566</v>
      </c>
      <c r="H120" s="11">
        <f t="shared" si="8"/>
        <v>1</v>
      </c>
      <c r="I120" s="11">
        <f t="shared" ref="I120:I298" si="13">B120*(G120-H120)</f>
        <v>1130000000</v>
      </c>
      <c r="J120" s="11">
        <f t="shared" si="10"/>
        <v>0</v>
      </c>
      <c r="K120" s="11">
        <f t="shared" si="11"/>
        <v>1130000000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540</v>
      </c>
      <c r="H121" s="11">
        <f t="shared" si="8"/>
        <v>1</v>
      </c>
      <c r="I121" s="11">
        <f t="shared" si="13"/>
        <v>1401400000</v>
      </c>
      <c r="J121" s="11">
        <f t="shared" si="10"/>
        <v>0</v>
      </c>
      <c r="K121" s="11">
        <f t="shared" si="11"/>
        <v>1401400000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539</v>
      </c>
      <c r="H122" s="11">
        <f t="shared" si="8"/>
        <v>1</v>
      </c>
      <c r="I122" s="11">
        <f t="shared" si="13"/>
        <v>206888438</v>
      </c>
      <c r="J122" s="11">
        <f t="shared" si="10"/>
        <v>59668504</v>
      </c>
      <c r="K122" s="11">
        <f t="shared" si="11"/>
        <v>147219934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538</v>
      </c>
      <c r="H123" s="11">
        <f t="shared" si="8"/>
        <v>0</v>
      </c>
      <c r="I123" s="11">
        <f t="shared" si="13"/>
        <v>0</v>
      </c>
      <c r="J123" s="11">
        <f t="shared" si="10"/>
        <v>430400000</v>
      </c>
      <c r="K123" s="11">
        <f t="shared" si="11"/>
        <v>-430400000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524</v>
      </c>
      <c r="H124" s="11">
        <f t="shared" si="8"/>
        <v>0</v>
      </c>
      <c r="I124" s="11">
        <f t="shared" si="13"/>
        <v>-1572000000</v>
      </c>
      <c r="J124" s="11">
        <f t="shared" si="10"/>
        <v>0</v>
      </c>
      <c r="K124" s="11">
        <f t="shared" si="11"/>
        <v>-1572000000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509</v>
      </c>
      <c r="H125" s="11">
        <f t="shared" si="8"/>
        <v>1</v>
      </c>
      <c r="I125" s="11">
        <f t="shared" si="13"/>
        <v>203560680</v>
      </c>
      <c r="J125" s="11">
        <f t="shared" si="10"/>
        <v>60388500</v>
      </c>
      <c r="K125" s="11">
        <f t="shared" si="11"/>
        <v>143172180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509</v>
      </c>
      <c r="H126" s="11">
        <f t="shared" si="8"/>
        <v>1</v>
      </c>
      <c r="I126" s="11">
        <f t="shared" si="13"/>
        <v>21336000000</v>
      </c>
      <c r="J126" s="11">
        <f t="shared" si="10"/>
        <v>0</v>
      </c>
      <c r="K126" s="11">
        <f t="shared" si="11"/>
        <v>21336000000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484</v>
      </c>
      <c r="H127" s="11">
        <f t="shared" si="8"/>
        <v>0</v>
      </c>
      <c r="I127" s="11">
        <f t="shared" si="13"/>
        <v>-2420000</v>
      </c>
      <c r="J127" s="11">
        <f t="shared" si="10"/>
        <v>0</v>
      </c>
      <c r="K127" s="11">
        <f t="shared" si="11"/>
        <v>-2420000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478</v>
      </c>
      <c r="H128" s="11">
        <f t="shared" si="8"/>
        <v>1</v>
      </c>
      <c r="I128" s="11">
        <f t="shared" si="13"/>
        <v>367945398</v>
      </c>
      <c r="J128" s="11">
        <f t="shared" si="10"/>
        <v>57572469</v>
      </c>
      <c r="K128" s="11">
        <f t="shared" si="11"/>
        <v>310372929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475</v>
      </c>
      <c r="H129" s="11">
        <f t="shared" si="8"/>
        <v>1</v>
      </c>
      <c r="I129" s="11">
        <f t="shared" si="13"/>
        <v>1185000000</v>
      </c>
      <c r="J129" s="11">
        <f t="shared" si="10"/>
        <v>0</v>
      </c>
      <c r="K129" s="11">
        <f t="shared" si="11"/>
        <v>1185000000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461</v>
      </c>
      <c r="H130" s="11">
        <f t="shared" si="8"/>
        <v>0</v>
      </c>
      <c r="I130" s="11">
        <f t="shared" si="13"/>
        <v>-461000000</v>
      </c>
      <c r="J130" s="11">
        <f t="shared" si="10"/>
        <v>-461000000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456</v>
      </c>
      <c r="H131" s="11">
        <f t="shared" si="8"/>
        <v>0</v>
      </c>
      <c r="I131" s="11">
        <f t="shared" si="13"/>
        <v>-22800000000</v>
      </c>
      <c r="J131" s="11">
        <f t="shared" si="10"/>
        <v>0</v>
      </c>
      <c r="K131" s="11">
        <f t="shared" si="11"/>
        <v>-22800000000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448</v>
      </c>
      <c r="H132" s="11">
        <f t="shared" ref="H132:H298" si="15">IF(B132&gt;0,1,0)</f>
        <v>1</v>
      </c>
      <c r="I132" s="11">
        <f t="shared" si="13"/>
        <v>274586289</v>
      </c>
      <c r="J132" s="11">
        <f t="shared" ref="J132:J206" si="16">C132*(G132-H132)</f>
        <v>47369037</v>
      </c>
      <c r="K132" s="11">
        <f t="shared" ref="K132:K298" si="17">D132*(G132-H132)</f>
        <v>227217252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444</v>
      </c>
      <c r="H133" s="11">
        <f t="shared" si="15"/>
        <v>0</v>
      </c>
      <c r="I133" s="11">
        <f t="shared" si="13"/>
        <v>-537550800</v>
      </c>
      <c r="J133" s="11">
        <f t="shared" si="16"/>
        <v>0</v>
      </c>
      <c r="K133" s="11">
        <f t="shared" si="17"/>
        <v>-537550800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435</v>
      </c>
      <c r="H134" s="11">
        <f t="shared" si="15"/>
        <v>0</v>
      </c>
      <c r="I134" s="11">
        <f t="shared" si="13"/>
        <v>-28275000</v>
      </c>
      <c r="J134" s="11">
        <f t="shared" si="16"/>
        <v>0</v>
      </c>
      <c r="K134" s="11">
        <f t="shared" si="17"/>
        <v>-28275000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435</v>
      </c>
      <c r="H135" s="11">
        <f t="shared" si="15"/>
        <v>0</v>
      </c>
      <c r="I135" s="11">
        <f t="shared" si="13"/>
        <v>-14050500</v>
      </c>
      <c r="J135" s="11">
        <f t="shared" si="16"/>
        <v>0</v>
      </c>
      <c r="K135" s="11">
        <f t="shared" si="17"/>
        <v>-14050500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427</v>
      </c>
      <c r="H136" s="11">
        <f t="shared" si="15"/>
        <v>0</v>
      </c>
      <c r="I136" s="11">
        <f t="shared" si="13"/>
        <v>-427000000</v>
      </c>
      <c r="J136" s="11">
        <f t="shared" si="16"/>
        <v>-427000000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418</v>
      </c>
      <c r="H137" s="11">
        <f t="shared" si="15"/>
        <v>1</v>
      </c>
      <c r="I137" s="11">
        <f t="shared" si="13"/>
        <v>121294041</v>
      </c>
      <c r="J137" s="11">
        <f t="shared" si="16"/>
        <v>40598703</v>
      </c>
      <c r="K137" s="11">
        <f t="shared" si="17"/>
        <v>80695338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401</v>
      </c>
      <c r="H138" s="11">
        <f t="shared" si="15"/>
        <v>0</v>
      </c>
      <c r="I138" s="11">
        <f t="shared" si="13"/>
        <v>-401200500</v>
      </c>
      <c r="J138" s="11">
        <f t="shared" si="16"/>
        <v>-401200500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389</v>
      </c>
      <c r="H139" s="11">
        <f t="shared" si="15"/>
        <v>1</v>
      </c>
      <c r="I139" s="11">
        <f t="shared" si="13"/>
        <v>109509120</v>
      </c>
      <c r="J139" s="11">
        <f t="shared" si="16"/>
        <v>34457116</v>
      </c>
      <c r="K139" s="11">
        <f t="shared" si="17"/>
        <v>75052004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386</v>
      </c>
      <c r="H140" s="11">
        <f t="shared" si="15"/>
        <v>1</v>
      </c>
      <c r="I140" s="11">
        <f t="shared" si="13"/>
        <v>577500000</v>
      </c>
      <c r="J140" s="11">
        <f t="shared" si="16"/>
        <v>0</v>
      </c>
      <c r="K140" s="11">
        <f t="shared" si="17"/>
        <v>577500000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373</v>
      </c>
      <c r="H141" s="11">
        <f t="shared" si="15"/>
        <v>0</v>
      </c>
      <c r="I141" s="11">
        <f t="shared" si="13"/>
        <v>0</v>
      </c>
      <c r="J141" s="11">
        <f t="shared" si="16"/>
        <v>-373000000</v>
      </c>
      <c r="K141" s="11">
        <f t="shared" si="17"/>
        <v>373000000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359</v>
      </c>
      <c r="H142" s="11">
        <f t="shared" si="15"/>
        <v>1</v>
      </c>
      <c r="I142" s="11">
        <f t="shared" si="13"/>
        <v>104139694</v>
      </c>
      <c r="J142" s="11">
        <f t="shared" si="16"/>
        <v>29005876</v>
      </c>
      <c r="K142" s="11">
        <f t="shared" si="17"/>
        <v>75133818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339</v>
      </c>
      <c r="H143" s="11">
        <f t="shared" si="15"/>
        <v>0</v>
      </c>
      <c r="I143" s="11">
        <f t="shared" si="13"/>
        <v>0</v>
      </c>
      <c r="J143" s="11">
        <f t="shared" si="16"/>
        <v>-339000000</v>
      </c>
      <c r="K143" s="11">
        <f t="shared" si="17"/>
        <v>339000000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329</v>
      </c>
      <c r="H144" s="11">
        <f t="shared" si="15"/>
        <v>1</v>
      </c>
      <c r="I144" s="11">
        <f t="shared" si="13"/>
        <v>96711456</v>
      </c>
      <c r="J144" s="11">
        <f t="shared" si="16"/>
        <v>24487496</v>
      </c>
      <c r="K144" s="11">
        <f t="shared" si="17"/>
        <v>72223960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314</v>
      </c>
      <c r="H145" s="11">
        <f t="shared" si="15"/>
        <v>0</v>
      </c>
      <c r="I145" s="11">
        <f t="shared" si="13"/>
        <v>-3140000</v>
      </c>
      <c r="J145" s="11">
        <f t="shared" si="16"/>
        <v>-1570000</v>
      </c>
      <c r="K145" s="11">
        <f t="shared" si="17"/>
        <v>-1570000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309</v>
      </c>
      <c r="H146" s="11">
        <f t="shared" si="15"/>
        <v>0</v>
      </c>
      <c r="I146" s="11">
        <f t="shared" si="13"/>
        <v>-309154500</v>
      </c>
      <c r="J146" s="11">
        <f t="shared" si="16"/>
        <v>-309154500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303</v>
      </c>
      <c r="H147" s="11">
        <f t="shared" si="15"/>
        <v>0</v>
      </c>
      <c r="I147" s="11">
        <f t="shared" si="13"/>
        <v>-8181000000</v>
      </c>
      <c r="J147" s="11">
        <f t="shared" si="16"/>
        <v>0</v>
      </c>
      <c r="K147" s="11">
        <f t="shared" si="17"/>
        <v>-8181000000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300</v>
      </c>
      <c r="H148" s="11">
        <f t="shared" si="15"/>
        <v>1</v>
      </c>
      <c r="I148" s="11">
        <f t="shared" si="13"/>
        <v>75478364</v>
      </c>
      <c r="J148" s="11">
        <f t="shared" si="16"/>
        <v>19587490</v>
      </c>
      <c r="K148" s="11">
        <f t="shared" si="17"/>
        <v>55890874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98" si="18">B149-C149</f>
        <v>52400000</v>
      </c>
      <c r="E149" s="11" t="s">
        <v>1074</v>
      </c>
      <c r="F149" s="11">
        <v>7</v>
      </c>
      <c r="G149" s="36">
        <f t="shared" si="14"/>
        <v>292</v>
      </c>
      <c r="H149" s="11">
        <f t="shared" si="15"/>
        <v>1</v>
      </c>
      <c r="I149" s="11">
        <f t="shared" si="13"/>
        <v>15248400000</v>
      </c>
      <c r="J149" s="11">
        <f t="shared" si="16"/>
        <v>0</v>
      </c>
      <c r="K149" s="11">
        <f t="shared" si="17"/>
        <v>15248400000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285</v>
      </c>
      <c r="H150" s="11">
        <f t="shared" si="15"/>
        <v>0</v>
      </c>
      <c r="I150" s="11">
        <f t="shared" si="13"/>
        <v>-14820000000</v>
      </c>
      <c r="J150" s="11">
        <f t="shared" si="16"/>
        <v>0</v>
      </c>
      <c r="K150" s="11">
        <f t="shared" si="17"/>
        <v>-14820000000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280</v>
      </c>
      <c r="H151" s="99">
        <f t="shared" si="15"/>
        <v>0</v>
      </c>
      <c r="I151" s="99">
        <f t="shared" si="13"/>
        <v>-2240000000</v>
      </c>
      <c r="J151" s="99">
        <f t="shared" si="16"/>
        <v>-1896196680</v>
      </c>
      <c r="K151" s="11">
        <f t="shared" si="17"/>
        <v>-343803320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280</v>
      </c>
      <c r="H152" s="99">
        <f t="shared" si="15"/>
        <v>0</v>
      </c>
      <c r="I152" s="99">
        <f t="shared" si="13"/>
        <v>-8744400</v>
      </c>
      <c r="J152" s="99">
        <f t="shared" si="16"/>
        <v>0</v>
      </c>
      <c r="K152" s="99">
        <f t="shared" si="17"/>
        <v>-8744400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269</v>
      </c>
      <c r="H153" s="99">
        <f t="shared" si="15"/>
        <v>1</v>
      </c>
      <c r="I153" s="99">
        <f t="shared" si="13"/>
        <v>36203316</v>
      </c>
      <c r="J153" s="99">
        <f t="shared" si="16"/>
        <v>11022840</v>
      </c>
      <c r="K153" s="99">
        <f t="shared" si="17"/>
        <v>25180476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266</v>
      </c>
      <c r="H154" s="99">
        <f t="shared" si="15"/>
        <v>1</v>
      </c>
      <c r="I154" s="99">
        <f t="shared" si="13"/>
        <v>1808381730</v>
      </c>
      <c r="J154" s="99">
        <f t="shared" si="16"/>
        <v>1808381730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261</v>
      </c>
      <c r="H155" s="99">
        <f t="shared" si="15"/>
        <v>0</v>
      </c>
      <c r="I155" s="99">
        <f t="shared" si="13"/>
        <v>-52200000</v>
      </c>
      <c r="J155" s="99">
        <f t="shared" si="16"/>
        <v>0</v>
      </c>
      <c r="K155" s="99">
        <f t="shared" si="17"/>
        <v>-52200000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261</v>
      </c>
      <c r="H156" s="99">
        <f t="shared" si="15"/>
        <v>0</v>
      </c>
      <c r="I156" s="99">
        <f t="shared" si="13"/>
        <v>-64686240</v>
      </c>
      <c r="J156" s="99">
        <f t="shared" si="16"/>
        <v>0</v>
      </c>
      <c r="K156" s="99">
        <f t="shared" si="17"/>
        <v>-64686240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260</v>
      </c>
      <c r="H157" s="99">
        <f t="shared" si="15"/>
        <v>0</v>
      </c>
      <c r="I157" s="99">
        <f t="shared" si="13"/>
        <v>-42208400</v>
      </c>
      <c r="J157" s="99">
        <f t="shared" si="16"/>
        <v>0</v>
      </c>
      <c r="K157" s="99">
        <f t="shared" si="17"/>
        <v>-42208400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260</v>
      </c>
      <c r="H158" s="99">
        <f t="shared" si="15"/>
        <v>0</v>
      </c>
      <c r="I158" s="99">
        <f t="shared" si="13"/>
        <v>-780234000</v>
      </c>
      <c r="J158" s="99">
        <f t="shared" si="16"/>
        <v>0</v>
      </c>
      <c r="K158" s="99">
        <f t="shared" si="17"/>
        <v>-780234000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258</v>
      </c>
      <c r="H159" s="99">
        <f t="shared" si="15"/>
        <v>0</v>
      </c>
      <c r="I159" s="99">
        <f t="shared" si="13"/>
        <v>-258129000</v>
      </c>
      <c r="J159" s="99">
        <f t="shared" si="16"/>
        <v>0</v>
      </c>
      <c r="K159" s="99">
        <f t="shared" si="17"/>
        <v>-258129000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254</v>
      </c>
      <c r="H160" s="99">
        <f t="shared" si="15"/>
        <v>0</v>
      </c>
      <c r="I160" s="99">
        <f t="shared" si="13"/>
        <v>-25400000</v>
      </c>
      <c r="J160" s="99">
        <f t="shared" si="16"/>
        <v>0</v>
      </c>
      <c r="K160" s="99">
        <f t="shared" si="17"/>
        <v>-25400000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253</v>
      </c>
      <c r="H161" s="99">
        <f t="shared" si="15"/>
        <v>0</v>
      </c>
      <c r="I161" s="99">
        <f t="shared" si="13"/>
        <v>-506000000</v>
      </c>
      <c r="J161" s="99">
        <f t="shared" si="16"/>
        <v>0</v>
      </c>
      <c r="K161" s="99">
        <f t="shared" si="17"/>
        <v>-506000000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253</v>
      </c>
      <c r="H162" s="99">
        <f t="shared" si="15"/>
        <v>0</v>
      </c>
      <c r="I162" s="99">
        <f t="shared" si="13"/>
        <v>-253126500</v>
      </c>
      <c r="J162" s="99">
        <f t="shared" si="16"/>
        <v>0</v>
      </c>
      <c r="K162" s="99">
        <f t="shared" si="17"/>
        <v>-253126500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250</v>
      </c>
      <c r="H163" s="99">
        <f t="shared" si="15"/>
        <v>0</v>
      </c>
      <c r="I163" s="99">
        <f t="shared" si="13"/>
        <v>-1250000</v>
      </c>
      <c r="J163" s="99">
        <f t="shared" si="16"/>
        <v>0</v>
      </c>
      <c r="K163" s="99">
        <f t="shared" si="17"/>
        <v>-1250000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240</v>
      </c>
      <c r="H164" s="99">
        <f t="shared" si="15"/>
        <v>1</v>
      </c>
      <c r="I164" s="99">
        <f t="shared" si="13"/>
        <v>717000000</v>
      </c>
      <c r="J164" s="99">
        <f t="shared" si="16"/>
        <v>0</v>
      </c>
      <c r="K164" s="99">
        <f t="shared" si="17"/>
        <v>717000000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239</v>
      </c>
      <c r="H165" s="99">
        <f t="shared" si="15"/>
        <v>1</v>
      </c>
      <c r="I165" s="99">
        <f t="shared" si="13"/>
        <v>714000000</v>
      </c>
      <c r="J165" s="99">
        <f t="shared" si="16"/>
        <v>0</v>
      </c>
      <c r="K165" s="99">
        <f t="shared" si="17"/>
        <v>714000000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238</v>
      </c>
      <c r="H166" s="99">
        <f t="shared" si="15"/>
        <v>1</v>
      </c>
      <c r="I166" s="99">
        <f t="shared" si="13"/>
        <v>4814418</v>
      </c>
      <c r="J166" s="99">
        <f t="shared" si="16"/>
        <v>14182554</v>
      </c>
      <c r="K166" s="99">
        <f t="shared" si="17"/>
        <v>-9368136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233</v>
      </c>
      <c r="H167" s="99">
        <f t="shared" si="15"/>
        <v>0</v>
      </c>
      <c r="I167" s="99">
        <f t="shared" si="13"/>
        <v>-699209700</v>
      </c>
      <c r="J167" s="99">
        <f t="shared" si="16"/>
        <v>0</v>
      </c>
      <c r="K167" s="99">
        <f t="shared" si="17"/>
        <v>-699209700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215</v>
      </c>
      <c r="H168" s="99">
        <f t="shared" si="15"/>
        <v>0</v>
      </c>
      <c r="I168" s="99">
        <f t="shared" si="13"/>
        <v>-645193500</v>
      </c>
      <c r="J168" s="99">
        <f t="shared" si="16"/>
        <v>0</v>
      </c>
      <c r="K168" s="99">
        <f t="shared" si="17"/>
        <v>-645193500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207</v>
      </c>
      <c r="H169" s="99">
        <f t="shared" si="15"/>
        <v>1</v>
      </c>
      <c r="I169" s="99">
        <f t="shared" si="13"/>
        <v>4471230</v>
      </c>
      <c r="J169" s="99">
        <f t="shared" si="16"/>
        <v>14114090</v>
      </c>
      <c r="K169" s="99">
        <f t="shared" si="17"/>
        <v>-9642860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183</v>
      </c>
      <c r="H170" s="99">
        <f t="shared" si="15"/>
        <v>1</v>
      </c>
      <c r="I170" s="99">
        <f t="shared" si="13"/>
        <v>910000000</v>
      </c>
      <c r="J170" s="99">
        <f t="shared" si="16"/>
        <v>0</v>
      </c>
      <c r="K170" s="99">
        <f t="shared" si="17"/>
        <v>910000000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182</v>
      </c>
      <c r="H171" s="99">
        <f t="shared" si="15"/>
        <v>0</v>
      </c>
      <c r="I171" s="99">
        <f t="shared" si="13"/>
        <v>-910000000</v>
      </c>
      <c r="J171" s="99">
        <f t="shared" si="16"/>
        <v>0</v>
      </c>
      <c r="K171" s="99">
        <f t="shared" si="17"/>
        <v>-910000000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176</v>
      </c>
      <c r="H172" s="99">
        <f t="shared" si="15"/>
        <v>1</v>
      </c>
      <c r="I172" s="99">
        <f t="shared" si="13"/>
        <v>86800</v>
      </c>
      <c r="J172" s="99">
        <f t="shared" si="16"/>
        <v>10969175</v>
      </c>
      <c r="K172" s="99">
        <f t="shared" si="17"/>
        <v>-10882375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175</v>
      </c>
      <c r="H173" s="99">
        <f t="shared" si="15"/>
        <v>1</v>
      </c>
      <c r="I173" s="99">
        <f t="shared" si="13"/>
        <v>136590000</v>
      </c>
      <c r="J173" s="99">
        <f t="shared" si="16"/>
        <v>0</v>
      </c>
      <c r="K173" s="99">
        <f t="shared" si="17"/>
        <v>136590000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164</v>
      </c>
      <c r="H174" s="99">
        <f t="shared" si="15"/>
        <v>0</v>
      </c>
      <c r="I174" s="99">
        <f t="shared" si="13"/>
        <v>-5248000</v>
      </c>
      <c r="J174" s="99">
        <f t="shared" si="16"/>
        <v>0</v>
      </c>
      <c r="K174" s="99">
        <f t="shared" si="17"/>
        <v>-5248000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162</v>
      </c>
      <c r="H175" s="99">
        <f t="shared" si="15"/>
        <v>0</v>
      </c>
      <c r="I175" s="99">
        <f t="shared" si="13"/>
        <v>-121500000</v>
      </c>
      <c r="J175" s="99">
        <f t="shared" si="16"/>
        <v>0</v>
      </c>
      <c r="K175" s="99">
        <f t="shared" si="17"/>
        <v>-121500000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153</v>
      </c>
      <c r="H176" s="99">
        <f t="shared" si="15"/>
        <v>0</v>
      </c>
      <c r="I176" s="99">
        <f t="shared" si="13"/>
        <v>-1437588</v>
      </c>
      <c r="J176" s="99">
        <f t="shared" si="16"/>
        <v>0</v>
      </c>
      <c r="K176" s="99">
        <f t="shared" si="17"/>
        <v>-1437588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152</v>
      </c>
      <c r="H177" s="99">
        <f t="shared" si="15"/>
        <v>0</v>
      </c>
      <c r="I177" s="99">
        <f t="shared" si="13"/>
        <v>-6581600</v>
      </c>
      <c r="J177" s="99">
        <f t="shared" si="16"/>
        <v>0</v>
      </c>
      <c r="K177" s="99">
        <f t="shared" si="17"/>
        <v>-6581600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149</v>
      </c>
      <c r="H178" s="99">
        <f t="shared" si="15"/>
        <v>1</v>
      </c>
      <c r="I178" s="99">
        <f t="shared" si="13"/>
        <v>53280000</v>
      </c>
      <c r="J178" s="99">
        <f t="shared" si="16"/>
        <v>0</v>
      </c>
      <c r="K178" s="99">
        <f t="shared" si="17"/>
        <v>53280000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147</v>
      </c>
      <c r="H179" s="99">
        <f t="shared" si="15"/>
        <v>1</v>
      </c>
      <c r="I179" s="99">
        <f t="shared" si="13"/>
        <v>438000000</v>
      </c>
      <c r="J179" s="99">
        <f t="shared" si="16"/>
        <v>0</v>
      </c>
      <c r="K179" s="99">
        <f t="shared" si="17"/>
        <v>438000000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147</v>
      </c>
      <c r="H180" s="99">
        <f t="shared" si="15"/>
        <v>0</v>
      </c>
      <c r="I180" s="99">
        <f t="shared" si="13"/>
        <v>-1771350</v>
      </c>
      <c r="J180" s="99">
        <f t="shared" si="16"/>
        <v>0</v>
      </c>
      <c r="K180" s="99">
        <f t="shared" si="17"/>
        <v>-1771350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145</v>
      </c>
      <c r="H181" s="99">
        <f t="shared" si="15"/>
        <v>1</v>
      </c>
      <c r="I181" s="99">
        <f t="shared" si="13"/>
        <v>432000000</v>
      </c>
      <c r="J181" s="99">
        <f t="shared" si="16"/>
        <v>0</v>
      </c>
      <c r="K181" s="99">
        <f t="shared" si="17"/>
        <v>432000000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143</v>
      </c>
      <c r="H182" s="99">
        <f t="shared" si="15"/>
        <v>0</v>
      </c>
      <c r="I182" s="99">
        <f t="shared" si="13"/>
        <v>-5119400</v>
      </c>
      <c r="J182" s="99">
        <f t="shared" si="16"/>
        <v>0</v>
      </c>
      <c r="K182" s="99">
        <f t="shared" si="17"/>
        <v>-5119400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142</v>
      </c>
      <c r="H183" s="99">
        <f t="shared" si="15"/>
        <v>1</v>
      </c>
      <c r="I183" s="99">
        <f t="shared" si="13"/>
        <v>507600000</v>
      </c>
      <c r="J183" s="99">
        <f t="shared" si="16"/>
        <v>0</v>
      </c>
      <c r="K183" s="99">
        <f t="shared" si="17"/>
        <v>507600000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142</v>
      </c>
      <c r="H184" s="99">
        <f t="shared" si="15"/>
        <v>0</v>
      </c>
      <c r="I184" s="99">
        <f t="shared" si="13"/>
        <v>-4739534</v>
      </c>
      <c r="J184" s="99">
        <f t="shared" si="16"/>
        <v>0</v>
      </c>
      <c r="K184" s="99">
        <f t="shared" si="17"/>
        <v>-4739534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139</v>
      </c>
      <c r="H185" s="99">
        <f t="shared" si="15"/>
        <v>0</v>
      </c>
      <c r="I185" s="99">
        <f t="shared" si="13"/>
        <v>-1362200000</v>
      </c>
      <c r="J185" s="99">
        <f t="shared" si="16"/>
        <v>0</v>
      </c>
      <c r="K185" s="99">
        <f t="shared" si="17"/>
        <v>-1362200000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139</v>
      </c>
      <c r="H186" s="99">
        <f t="shared" si="15"/>
        <v>1</v>
      </c>
      <c r="I186" s="99">
        <f t="shared" si="13"/>
        <v>2484000000</v>
      </c>
      <c r="J186" s="99">
        <f t="shared" si="16"/>
        <v>0</v>
      </c>
      <c r="K186" s="99">
        <f t="shared" si="17"/>
        <v>2484000000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139</v>
      </c>
      <c r="H187" s="99">
        <f t="shared" si="15"/>
        <v>0</v>
      </c>
      <c r="I187" s="99">
        <f t="shared" si="13"/>
        <v>-1251000000</v>
      </c>
      <c r="J187" s="99">
        <f t="shared" si="16"/>
        <v>0</v>
      </c>
      <c r="K187" s="99">
        <f t="shared" si="17"/>
        <v>-1251000000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139</v>
      </c>
      <c r="H188" s="99">
        <f t="shared" si="15"/>
        <v>0</v>
      </c>
      <c r="I188" s="99">
        <f t="shared" si="13"/>
        <v>-1612400</v>
      </c>
      <c r="J188" s="99">
        <f t="shared" si="16"/>
        <v>0</v>
      </c>
      <c r="K188" s="99">
        <f t="shared" si="17"/>
        <v>-1612400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139</v>
      </c>
      <c r="H189" s="99">
        <f t="shared" si="15"/>
        <v>0</v>
      </c>
      <c r="I189" s="99">
        <f t="shared" si="13"/>
        <v>-459301453</v>
      </c>
      <c r="J189" s="99">
        <f t="shared" si="16"/>
        <v>0</v>
      </c>
      <c r="K189" s="99">
        <f t="shared" si="17"/>
        <v>-459301453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138</v>
      </c>
      <c r="H190" s="99">
        <f t="shared" si="15"/>
        <v>0</v>
      </c>
      <c r="I190" s="99">
        <f t="shared" si="13"/>
        <v>-414124200</v>
      </c>
      <c r="J190" s="99">
        <f t="shared" si="16"/>
        <v>0</v>
      </c>
      <c r="K190" s="99">
        <f t="shared" si="17"/>
        <v>-414124200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137</v>
      </c>
      <c r="H191" s="99">
        <f t="shared" si="15"/>
        <v>0</v>
      </c>
      <c r="I191" s="99">
        <f t="shared" si="13"/>
        <v>-378243300</v>
      </c>
      <c r="J191" s="99">
        <f t="shared" si="16"/>
        <v>0</v>
      </c>
      <c r="K191" s="99">
        <f t="shared" si="17"/>
        <v>-378243300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132</v>
      </c>
      <c r="H192" s="99">
        <f t="shared" si="15"/>
        <v>1</v>
      </c>
      <c r="I192" s="99">
        <f t="shared" si="13"/>
        <v>131000000</v>
      </c>
      <c r="J192" s="99">
        <f t="shared" si="16"/>
        <v>0</v>
      </c>
      <c r="K192" s="99">
        <f t="shared" si="17"/>
        <v>131000000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131</v>
      </c>
      <c r="H193" s="99">
        <f t="shared" si="15"/>
        <v>0</v>
      </c>
      <c r="I193" s="99">
        <f t="shared" si="13"/>
        <v>-1965000</v>
      </c>
      <c r="J193" s="99">
        <f t="shared" si="16"/>
        <v>0</v>
      </c>
      <c r="K193" s="99">
        <f t="shared" si="17"/>
        <v>-1965000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129</v>
      </c>
      <c r="H194" s="99">
        <f t="shared" si="15"/>
        <v>0</v>
      </c>
      <c r="I194" s="99">
        <f t="shared" si="13"/>
        <v>-127710000</v>
      </c>
      <c r="J194" s="99">
        <f t="shared" si="16"/>
        <v>0</v>
      </c>
      <c r="K194" s="99">
        <f t="shared" si="17"/>
        <v>-127710000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129</v>
      </c>
      <c r="H195" s="99">
        <f t="shared" si="15"/>
        <v>1</v>
      </c>
      <c r="I195" s="99">
        <f t="shared" si="13"/>
        <v>100224000</v>
      </c>
      <c r="J195" s="99">
        <f t="shared" si="16"/>
        <v>0</v>
      </c>
      <c r="K195" s="99">
        <f t="shared" si="17"/>
        <v>100224000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127</v>
      </c>
      <c r="H196" s="99">
        <f t="shared" si="15"/>
        <v>0</v>
      </c>
      <c r="I196" s="99">
        <f t="shared" si="13"/>
        <v>-95313500</v>
      </c>
      <c r="J196" s="99">
        <f t="shared" si="16"/>
        <v>0</v>
      </c>
      <c r="K196" s="99">
        <f t="shared" si="17"/>
        <v>-95313500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125</v>
      </c>
      <c r="H197" s="99">
        <f t="shared" si="15"/>
        <v>1</v>
      </c>
      <c r="I197" s="99">
        <f t="shared" si="13"/>
        <v>86800000</v>
      </c>
      <c r="J197" s="99">
        <f t="shared" si="16"/>
        <v>0</v>
      </c>
      <c r="K197" s="99">
        <f t="shared" si="17"/>
        <v>86800000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125</v>
      </c>
      <c r="H198" s="99">
        <f t="shared" si="15"/>
        <v>0</v>
      </c>
      <c r="I198" s="99">
        <f t="shared" si="13"/>
        <v>-12375000</v>
      </c>
      <c r="J198" s="99">
        <f t="shared" si="16"/>
        <v>0</v>
      </c>
      <c r="K198" s="99">
        <f t="shared" si="17"/>
        <v>-12375000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124</v>
      </c>
      <c r="H199" s="99">
        <f t="shared" si="15"/>
        <v>0</v>
      </c>
      <c r="I199" s="99">
        <f t="shared" si="13"/>
        <v>-25513000</v>
      </c>
      <c r="J199" s="99">
        <f t="shared" si="16"/>
        <v>0</v>
      </c>
      <c r="K199" s="99">
        <f t="shared" si="17"/>
        <v>-25513000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124</v>
      </c>
      <c r="H200" s="99">
        <f t="shared" si="15"/>
        <v>0</v>
      </c>
      <c r="I200" s="99">
        <f t="shared" si="13"/>
        <v>-11780000</v>
      </c>
      <c r="J200" s="99">
        <f t="shared" si="16"/>
        <v>0</v>
      </c>
      <c r="K200" s="99">
        <f t="shared" si="17"/>
        <v>-11780000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121</v>
      </c>
      <c r="H201" s="99">
        <f t="shared" si="15"/>
        <v>1</v>
      </c>
      <c r="I201" s="99">
        <f t="shared" si="13"/>
        <v>5838000000</v>
      </c>
      <c r="J201" s="99">
        <f t="shared" si="16"/>
        <v>0</v>
      </c>
      <c r="K201" s="99">
        <f t="shared" si="17"/>
        <v>5838000000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121</v>
      </c>
      <c r="H202" s="99">
        <f t="shared" si="15"/>
        <v>0</v>
      </c>
      <c r="I202" s="99">
        <f t="shared" si="13"/>
        <v>-363108900</v>
      </c>
      <c r="J202" s="99">
        <f t="shared" si="16"/>
        <v>0</v>
      </c>
      <c r="K202" s="99">
        <f t="shared" si="17"/>
        <v>-363108900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121</v>
      </c>
      <c r="H203" s="99">
        <f t="shared" si="15"/>
        <v>0</v>
      </c>
      <c r="I203" s="99">
        <f t="shared" si="13"/>
        <v>-605000</v>
      </c>
      <c r="J203" s="99">
        <f t="shared" si="16"/>
        <v>0</v>
      </c>
      <c r="K203" s="99">
        <f t="shared" si="17"/>
        <v>-605000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121</v>
      </c>
      <c r="H204" s="99">
        <f t="shared" si="15"/>
        <v>0</v>
      </c>
      <c r="I204" s="99">
        <f t="shared" si="13"/>
        <v>-4053500000</v>
      </c>
      <c r="J204" s="99">
        <f t="shared" si="16"/>
        <v>0</v>
      </c>
      <c r="K204" s="99">
        <f t="shared" si="17"/>
        <v>-4053500000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98" si="19">G206+F205</f>
        <v>120</v>
      </c>
      <c r="H205" s="99">
        <f t="shared" si="15"/>
        <v>0</v>
      </c>
      <c r="I205" s="99">
        <f t="shared" si="13"/>
        <v>-1492200000</v>
      </c>
      <c r="J205" s="99">
        <f t="shared" si="16"/>
        <v>0</v>
      </c>
      <c r="K205" s="99">
        <f t="shared" si="17"/>
        <v>-1492200000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117</v>
      </c>
      <c r="H206" s="99">
        <f t="shared" si="15"/>
        <v>0</v>
      </c>
      <c r="I206" s="99">
        <f t="shared" si="13"/>
        <v>-2164500</v>
      </c>
      <c r="J206" s="99">
        <f t="shared" si="16"/>
        <v>0</v>
      </c>
      <c r="K206" s="99">
        <f t="shared" si="17"/>
        <v>-2164500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115</v>
      </c>
      <c r="H207" s="99">
        <f t="shared" si="15"/>
        <v>1</v>
      </c>
      <c r="I207" s="99">
        <f t="shared" si="13"/>
        <v>1650720</v>
      </c>
      <c r="J207" s="99">
        <f t="shared" ref="J207:J298" si="20">C207*(G207-H207)</f>
        <v>8079636</v>
      </c>
      <c r="K207" s="99">
        <f t="shared" si="17"/>
        <v>-6428916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114</v>
      </c>
      <c r="H208" s="99">
        <f t="shared" si="15"/>
        <v>1</v>
      </c>
      <c r="I208" s="99">
        <f t="shared" si="13"/>
        <v>93790000</v>
      </c>
      <c r="J208" s="99">
        <f t="shared" si="20"/>
        <v>0</v>
      </c>
      <c r="K208" s="99">
        <f t="shared" si="17"/>
        <v>93790000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112</v>
      </c>
      <c r="H209" s="99">
        <f t="shared" si="15"/>
        <v>0</v>
      </c>
      <c r="I209" s="99">
        <f t="shared" si="13"/>
        <v>-5873280</v>
      </c>
      <c r="J209" s="99">
        <f t="shared" si="20"/>
        <v>0</v>
      </c>
      <c r="K209" s="99">
        <f t="shared" si="17"/>
        <v>-5873280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111</v>
      </c>
      <c r="H210" s="99">
        <f t="shared" si="15"/>
        <v>0</v>
      </c>
      <c r="I210" s="99">
        <f t="shared" si="13"/>
        <v>-5672100</v>
      </c>
      <c r="J210" s="99">
        <f t="shared" si="20"/>
        <v>0</v>
      </c>
      <c r="K210" s="99">
        <f t="shared" si="17"/>
        <v>-5672100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110</v>
      </c>
      <c r="H211" s="99">
        <f t="shared" si="15"/>
        <v>0</v>
      </c>
      <c r="I211" s="99">
        <f t="shared" si="13"/>
        <v>-22000000</v>
      </c>
      <c r="J211" s="99">
        <f t="shared" si="20"/>
        <v>0</v>
      </c>
      <c r="K211" s="99">
        <f t="shared" si="17"/>
        <v>-22000000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109</v>
      </c>
      <c r="H212" s="99">
        <f t="shared" si="15"/>
        <v>0</v>
      </c>
      <c r="I212" s="99">
        <f t="shared" si="13"/>
        <v>-3052000</v>
      </c>
      <c r="J212" s="99">
        <f t="shared" si="20"/>
        <v>0</v>
      </c>
      <c r="K212" s="99">
        <f t="shared" si="17"/>
        <v>-3052000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108</v>
      </c>
      <c r="H213" s="99">
        <f t="shared" si="15"/>
        <v>0</v>
      </c>
      <c r="I213" s="99">
        <f t="shared" si="13"/>
        <v>-6382800</v>
      </c>
      <c r="J213" s="99">
        <f t="shared" si="20"/>
        <v>0</v>
      </c>
      <c r="K213" s="99">
        <f t="shared" si="17"/>
        <v>-6382800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107</v>
      </c>
      <c r="H214" s="99">
        <f t="shared" si="15"/>
        <v>0</v>
      </c>
      <c r="I214" s="99">
        <f t="shared" si="13"/>
        <v>-3210000</v>
      </c>
      <c r="J214" s="99">
        <f t="shared" si="20"/>
        <v>0</v>
      </c>
      <c r="K214" s="99">
        <f t="shared" si="17"/>
        <v>-3210000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107</v>
      </c>
      <c r="H215" s="99">
        <f t="shared" si="15"/>
        <v>0</v>
      </c>
      <c r="I215" s="99">
        <f t="shared" si="13"/>
        <v>-19046000</v>
      </c>
      <c r="J215" s="99">
        <f t="shared" si="20"/>
        <v>0</v>
      </c>
      <c r="K215" s="99">
        <f t="shared" si="17"/>
        <v>-19046000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106</v>
      </c>
      <c r="H216" s="99">
        <f t="shared" si="15"/>
        <v>0</v>
      </c>
      <c r="I216" s="99">
        <f t="shared" si="13"/>
        <v>-10134660</v>
      </c>
      <c r="J216" s="99">
        <f t="shared" si="20"/>
        <v>0</v>
      </c>
      <c r="K216" s="99">
        <f t="shared" si="17"/>
        <v>-10134660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103</v>
      </c>
      <c r="H217" s="99">
        <f t="shared" si="15"/>
        <v>0</v>
      </c>
      <c r="I217" s="99">
        <f t="shared" si="13"/>
        <v>-8652000</v>
      </c>
      <c r="J217" s="99">
        <f t="shared" si="20"/>
        <v>0</v>
      </c>
      <c r="K217" s="99">
        <f t="shared" si="17"/>
        <v>-8652000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97" si="21">G219+F218</f>
        <v>101</v>
      </c>
      <c r="H218" s="99">
        <f t="shared" si="15"/>
        <v>0</v>
      </c>
      <c r="I218" s="99">
        <f t="shared" si="13"/>
        <v>-3333000</v>
      </c>
      <c r="J218" s="99">
        <f t="shared" si="20"/>
        <v>0</v>
      </c>
      <c r="K218" s="99">
        <f t="shared" si="17"/>
        <v>-3333000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98</v>
      </c>
      <c r="H219" s="99">
        <f t="shared" si="15"/>
        <v>1</v>
      </c>
      <c r="I219" s="99">
        <f t="shared" si="13"/>
        <v>150156000</v>
      </c>
      <c r="J219" s="99">
        <f t="shared" si="20"/>
        <v>0</v>
      </c>
      <c r="K219" s="99">
        <f t="shared" si="17"/>
        <v>150156000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97</v>
      </c>
      <c r="H220" s="99">
        <f t="shared" si="15"/>
        <v>0</v>
      </c>
      <c r="I220" s="99">
        <f t="shared" si="13"/>
        <v>-135867900</v>
      </c>
      <c r="J220" s="99">
        <f t="shared" si="20"/>
        <v>0</v>
      </c>
      <c r="K220" s="99">
        <f t="shared" si="17"/>
        <v>-135867900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97</v>
      </c>
      <c r="H221" s="99">
        <f t="shared" si="15"/>
        <v>0</v>
      </c>
      <c r="I221" s="99">
        <f t="shared" si="13"/>
        <v>-970000</v>
      </c>
      <c r="J221" s="99">
        <f t="shared" si="20"/>
        <v>0</v>
      </c>
      <c r="K221" s="99">
        <f t="shared" si="17"/>
        <v>-970000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97</v>
      </c>
      <c r="H222" s="99">
        <f t="shared" si="15"/>
        <v>0</v>
      </c>
      <c r="I222" s="99">
        <f t="shared" si="13"/>
        <v>-485000</v>
      </c>
      <c r="J222" s="99">
        <f t="shared" si="20"/>
        <v>-242500</v>
      </c>
      <c r="K222" s="99">
        <f t="shared" si="17"/>
        <v>-242500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91</v>
      </c>
      <c r="H223" s="99">
        <f t="shared" si="15"/>
        <v>0</v>
      </c>
      <c r="I223" s="99">
        <f t="shared" si="13"/>
        <v>-17290000</v>
      </c>
      <c r="J223" s="99">
        <f t="shared" si="20"/>
        <v>0</v>
      </c>
      <c r="K223" s="99">
        <f t="shared" si="17"/>
        <v>-17290000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84</v>
      </c>
      <c r="H224" s="99">
        <f t="shared" si="15"/>
        <v>1</v>
      </c>
      <c r="I224" s="99">
        <f t="shared" si="13"/>
        <v>158613</v>
      </c>
      <c r="J224" s="99">
        <f t="shared" si="20"/>
        <v>5392676</v>
      </c>
      <c r="K224" s="99">
        <f t="shared" si="17"/>
        <v>-5234063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78</v>
      </c>
      <c r="H225" s="99">
        <f t="shared" si="15"/>
        <v>1</v>
      </c>
      <c r="I225" s="99">
        <f t="shared" si="13"/>
        <v>385000000</v>
      </c>
      <c r="J225" s="99">
        <f t="shared" si="20"/>
        <v>0</v>
      </c>
      <c r="K225" s="99">
        <f t="shared" si="17"/>
        <v>385000000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77</v>
      </c>
      <c r="H226" s="99">
        <f t="shared" si="15"/>
        <v>0</v>
      </c>
      <c r="I226" s="99">
        <f t="shared" si="13"/>
        <v>-246400000</v>
      </c>
      <c r="J226" s="99">
        <f t="shared" si="20"/>
        <v>0</v>
      </c>
      <c r="K226" s="99">
        <f t="shared" si="17"/>
        <v>-246400000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77</v>
      </c>
      <c r="H227" s="99">
        <f t="shared" si="15"/>
        <v>1</v>
      </c>
      <c r="I227" s="99">
        <f t="shared" si="13"/>
        <v>182400000</v>
      </c>
      <c r="J227" s="99">
        <f t="shared" si="20"/>
        <v>0</v>
      </c>
      <c r="K227" s="99">
        <f t="shared" si="17"/>
        <v>182400000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75</v>
      </c>
      <c r="H228" s="99">
        <f t="shared" si="15"/>
        <v>0</v>
      </c>
      <c r="I228" s="99">
        <f t="shared" si="13"/>
        <v>-3750000</v>
      </c>
      <c r="J228" s="99">
        <f t="shared" si="20"/>
        <v>0</v>
      </c>
      <c r="K228" s="99">
        <f t="shared" si="17"/>
        <v>-3750000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74</v>
      </c>
      <c r="H229" s="99">
        <f t="shared" si="15"/>
        <v>0</v>
      </c>
      <c r="I229" s="99">
        <f t="shared" si="13"/>
        <v>-303451800</v>
      </c>
      <c r="J229" s="99">
        <f t="shared" si="20"/>
        <v>0</v>
      </c>
      <c r="K229" s="99">
        <f t="shared" si="17"/>
        <v>-303451800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70</v>
      </c>
      <c r="H230" s="99">
        <f t="shared" si="15"/>
        <v>1</v>
      </c>
      <c r="I230" s="99">
        <f t="shared" si="13"/>
        <v>669300000</v>
      </c>
      <c r="J230" s="99">
        <f t="shared" si="20"/>
        <v>0</v>
      </c>
      <c r="K230" s="99">
        <f t="shared" si="17"/>
        <v>669300000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70</v>
      </c>
      <c r="H231" s="99">
        <f t="shared" si="15"/>
        <v>0</v>
      </c>
      <c r="I231" s="99">
        <f t="shared" si="13"/>
        <v>-210063000</v>
      </c>
      <c r="J231" s="99">
        <f t="shared" si="20"/>
        <v>0</v>
      </c>
      <c r="K231" s="99">
        <f t="shared" si="17"/>
        <v>-210063000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69</v>
      </c>
      <c r="H232" s="99">
        <f t="shared" si="15"/>
        <v>0</v>
      </c>
      <c r="I232" s="99">
        <f t="shared" si="13"/>
        <v>-207062100</v>
      </c>
      <c r="J232" s="99">
        <f t="shared" si="20"/>
        <v>0</v>
      </c>
      <c r="K232" s="99">
        <f t="shared" si="17"/>
        <v>-207062100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69</v>
      </c>
      <c r="H233" s="99">
        <f t="shared" si="15"/>
        <v>0</v>
      </c>
      <c r="I233" s="99">
        <f t="shared" si="13"/>
        <v>-38295000</v>
      </c>
      <c r="J233" s="99">
        <f t="shared" si="20"/>
        <v>0</v>
      </c>
      <c r="K233" s="99">
        <f t="shared" si="17"/>
        <v>-38295000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68</v>
      </c>
      <c r="H234" s="99">
        <f t="shared" si="15"/>
        <v>0</v>
      </c>
      <c r="I234" s="99">
        <f t="shared" si="13"/>
        <v>-9408480</v>
      </c>
      <c r="J234" s="99">
        <f t="shared" si="20"/>
        <v>0</v>
      </c>
      <c r="K234" s="99">
        <f t="shared" si="17"/>
        <v>-9408480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67</v>
      </c>
      <c r="H235" s="99">
        <f t="shared" si="15"/>
        <v>0</v>
      </c>
      <c r="I235" s="99">
        <f t="shared" si="13"/>
        <v>-201060300</v>
      </c>
      <c r="J235" s="99">
        <f t="shared" si="20"/>
        <v>0</v>
      </c>
      <c r="K235" s="99">
        <f t="shared" si="17"/>
        <v>-201060300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65</v>
      </c>
      <c r="H236" s="99">
        <f t="shared" si="15"/>
        <v>0</v>
      </c>
      <c r="I236" s="99">
        <f t="shared" si="13"/>
        <v>-3575000</v>
      </c>
      <c r="J236" s="99">
        <f t="shared" si="20"/>
        <v>0</v>
      </c>
      <c r="K236" s="99">
        <f t="shared" si="17"/>
        <v>-3575000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61</v>
      </c>
      <c r="H237" s="99">
        <f t="shared" si="15"/>
        <v>1</v>
      </c>
      <c r="I237" s="99">
        <f t="shared" si="13"/>
        <v>362100000</v>
      </c>
      <c r="J237" s="99">
        <f t="shared" si="20"/>
        <v>0</v>
      </c>
      <c r="K237" s="99">
        <f t="shared" si="17"/>
        <v>362100000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59</v>
      </c>
      <c r="H238" s="99">
        <f t="shared" si="15"/>
        <v>0</v>
      </c>
      <c r="I238" s="99">
        <f t="shared" si="13"/>
        <v>-442500</v>
      </c>
      <c r="J238" s="99">
        <f t="shared" si="20"/>
        <v>0</v>
      </c>
      <c r="K238" s="99">
        <f t="shared" si="17"/>
        <v>-442500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58</v>
      </c>
      <c r="H239" s="99">
        <f t="shared" si="15"/>
        <v>0</v>
      </c>
      <c r="I239" s="99">
        <f t="shared" si="13"/>
        <v>-237714334</v>
      </c>
      <c r="J239" s="99">
        <f t="shared" si="20"/>
        <v>0</v>
      </c>
      <c r="K239" s="99">
        <f t="shared" si="17"/>
        <v>-237714334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58</v>
      </c>
      <c r="H240" s="99">
        <f t="shared" si="15"/>
        <v>0</v>
      </c>
      <c r="I240" s="99">
        <f t="shared" si="13"/>
        <v>-1927050</v>
      </c>
      <c r="J240" s="99">
        <f t="shared" si="20"/>
        <v>0</v>
      </c>
      <c r="K240" s="99">
        <f t="shared" si="17"/>
        <v>-1927050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58</v>
      </c>
      <c r="H241" s="99">
        <f t="shared" si="15"/>
        <v>0</v>
      </c>
      <c r="I241" s="99">
        <f t="shared" si="13"/>
        <v>-109910000</v>
      </c>
      <c r="J241" s="99">
        <f t="shared" si="20"/>
        <v>0</v>
      </c>
      <c r="K241" s="99">
        <f t="shared" si="17"/>
        <v>-109910000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51</v>
      </c>
      <c r="H242" s="99">
        <f t="shared" si="15"/>
        <v>1</v>
      </c>
      <c r="I242" s="99">
        <f t="shared" si="13"/>
        <v>125000000</v>
      </c>
      <c r="J242" s="99">
        <f t="shared" si="20"/>
        <v>0</v>
      </c>
      <c r="K242" s="99">
        <f t="shared" si="17"/>
        <v>125000000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49</v>
      </c>
      <c r="H243" s="99">
        <f t="shared" si="15"/>
        <v>0</v>
      </c>
      <c r="I243" s="99">
        <f t="shared" si="13"/>
        <v>-122500000</v>
      </c>
      <c r="J243" s="99">
        <f t="shared" si="20"/>
        <v>0</v>
      </c>
      <c r="K243" s="99">
        <f t="shared" si="17"/>
        <v>-122500000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47</v>
      </c>
      <c r="H244" s="99">
        <f t="shared" si="15"/>
        <v>1</v>
      </c>
      <c r="I244" s="99">
        <f t="shared" si="13"/>
        <v>50600000</v>
      </c>
      <c r="J244" s="99">
        <f t="shared" si="20"/>
        <v>0</v>
      </c>
      <c r="K244" s="99">
        <f t="shared" si="17"/>
        <v>50600000</v>
      </c>
    </row>
    <row r="245" spans="1:13">
      <c r="A245" s="99" t="s">
        <v>4454</v>
      </c>
      <c r="B245" s="18">
        <v>3000000</v>
      </c>
      <c r="C245" s="18">
        <v>0</v>
      </c>
      <c r="D245" s="18">
        <f t="shared" si="18"/>
        <v>3000000</v>
      </c>
      <c r="E245" s="99" t="s">
        <v>4456</v>
      </c>
      <c r="F245" s="99">
        <v>2</v>
      </c>
      <c r="G245" s="36">
        <f t="shared" si="21"/>
        <v>45</v>
      </c>
      <c r="H245" s="99">
        <f t="shared" si="15"/>
        <v>1</v>
      </c>
      <c r="I245" s="99">
        <f t="shared" si="13"/>
        <v>132000000</v>
      </c>
      <c r="J245" s="99">
        <f t="shared" si="20"/>
        <v>0</v>
      </c>
      <c r="K245" s="99">
        <f t="shared" si="17"/>
        <v>132000000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4489</v>
      </c>
      <c r="F246" s="99">
        <v>0</v>
      </c>
      <c r="G246" s="36">
        <f t="shared" si="21"/>
        <v>43</v>
      </c>
      <c r="H246" s="99">
        <f t="shared" si="15"/>
        <v>0</v>
      </c>
      <c r="I246" s="99">
        <f t="shared" si="13"/>
        <v>-173750100</v>
      </c>
      <c r="J246" s="99">
        <f t="shared" si="20"/>
        <v>0</v>
      </c>
      <c r="K246" s="99">
        <f t="shared" si="17"/>
        <v>-173750100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43</v>
      </c>
      <c r="H247" s="99">
        <f t="shared" si="15"/>
        <v>1</v>
      </c>
      <c r="I247" s="99">
        <f t="shared" si="13"/>
        <v>20580000</v>
      </c>
      <c r="J247" s="99">
        <f t="shared" si="20"/>
        <v>0</v>
      </c>
      <c r="K247" s="99">
        <f t="shared" si="17"/>
        <v>20580000</v>
      </c>
    </row>
    <row r="248" spans="1:13">
      <c r="A248" s="99" t="s">
        <v>4492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42</v>
      </c>
      <c r="H248" s="99">
        <f t="shared" si="15"/>
        <v>1</v>
      </c>
      <c r="I248" s="99">
        <f t="shared" si="13"/>
        <v>57400000</v>
      </c>
      <c r="J248" s="99">
        <f t="shared" si="20"/>
        <v>0</v>
      </c>
      <c r="K248" s="99">
        <f t="shared" si="17"/>
        <v>57400000</v>
      </c>
      <c r="M248" t="s">
        <v>25</v>
      </c>
    </row>
    <row r="249" spans="1:13">
      <c r="A249" s="99" t="s">
        <v>4492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42</v>
      </c>
      <c r="H249" s="99">
        <f t="shared" si="15"/>
        <v>0</v>
      </c>
      <c r="I249" s="99">
        <f t="shared" si="13"/>
        <v>-63000000</v>
      </c>
      <c r="J249" s="99">
        <f t="shared" si="20"/>
        <v>0</v>
      </c>
      <c r="K249" s="99">
        <f t="shared" si="17"/>
        <v>-63000000</v>
      </c>
    </row>
    <row r="250" spans="1:13">
      <c r="A250" s="99" t="s">
        <v>4498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41</v>
      </c>
      <c r="H250" s="99">
        <f t="shared" si="15"/>
        <v>0</v>
      </c>
      <c r="I250" s="99">
        <f t="shared" si="13"/>
        <v>-4100000</v>
      </c>
      <c r="J250" s="99">
        <f t="shared" si="20"/>
        <v>0</v>
      </c>
      <c r="K250" s="99">
        <f t="shared" si="17"/>
        <v>-4100000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40</v>
      </c>
      <c r="H251" s="99">
        <f t="shared" si="15"/>
        <v>0</v>
      </c>
      <c r="I251" s="99">
        <f t="shared" si="13"/>
        <v>-556000</v>
      </c>
      <c r="J251" s="99">
        <f t="shared" si="20"/>
        <v>0</v>
      </c>
      <c r="K251" s="99">
        <f t="shared" si="17"/>
        <v>-556000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40</v>
      </c>
      <c r="H252" s="99">
        <f t="shared" si="15"/>
        <v>1</v>
      </c>
      <c r="I252" s="99">
        <f t="shared" si="13"/>
        <v>11700000</v>
      </c>
      <c r="J252" s="99">
        <f t="shared" si="20"/>
        <v>0</v>
      </c>
      <c r="K252" s="99">
        <f t="shared" si="17"/>
        <v>11700000</v>
      </c>
    </row>
    <row r="253" spans="1:13">
      <c r="A253" s="99" t="s">
        <v>4506</v>
      </c>
      <c r="B253" s="18">
        <v>12000000</v>
      </c>
      <c r="C253" s="18">
        <v>0</v>
      </c>
      <c r="D253" s="18">
        <f t="shared" si="18"/>
        <v>12000000</v>
      </c>
      <c r="E253" s="99" t="s">
        <v>4507</v>
      </c>
      <c r="F253" s="99">
        <v>1</v>
      </c>
      <c r="G253" s="36">
        <f t="shared" si="21"/>
        <v>38</v>
      </c>
      <c r="H253" s="99">
        <f t="shared" si="15"/>
        <v>1</v>
      </c>
      <c r="I253" s="99">
        <f t="shared" si="13"/>
        <v>444000000</v>
      </c>
      <c r="J253" s="99">
        <f t="shared" si="20"/>
        <v>0</v>
      </c>
      <c r="K253" s="99">
        <f t="shared" si="17"/>
        <v>444000000</v>
      </c>
    </row>
    <row r="254" spans="1:13">
      <c r="A254" s="99" t="s">
        <v>4508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37</v>
      </c>
      <c r="H254" s="99">
        <f t="shared" si="15"/>
        <v>1</v>
      </c>
      <c r="I254" s="99">
        <f t="shared" si="13"/>
        <v>108000000</v>
      </c>
      <c r="J254" s="99">
        <f t="shared" si="20"/>
        <v>0</v>
      </c>
      <c r="K254" s="99">
        <f t="shared" si="17"/>
        <v>108000000</v>
      </c>
    </row>
    <row r="255" spans="1:13">
      <c r="A255" s="99" t="s">
        <v>4510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36</v>
      </c>
      <c r="H255" s="99">
        <f t="shared" si="15"/>
        <v>0</v>
      </c>
      <c r="I255" s="99">
        <f t="shared" si="13"/>
        <v>-504000000</v>
      </c>
      <c r="J255" s="99">
        <f t="shared" si="20"/>
        <v>0</v>
      </c>
      <c r="K255" s="99">
        <f t="shared" si="17"/>
        <v>-504000000</v>
      </c>
    </row>
    <row r="256" spans="1:13">
      <c r="A256" s="99" t="s">
        <v>4512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35</v>
      </c>
      <c r="H256" s="99">
        <f t="shared" si="15"/>
        <v>0</v>
      </c>
      <c r="I256" s="99">
        <f t="shared" si="13"/>
        <v>-4373915</v>
      </c>
      <c r="J256" s="99">
        <f t="shared" si="20"/>
        <v>0</v>
      </c>
      <c r="K256" s="99">
        <f t="shared" si="17"/>
        <v>-4373915</v>
      </c>
    </row>
    <row r="257" spans="1:13">
      <c r="A257" s="99" t="s">
        <v>4512</v>
      </c>
      <c r="B257" s="18">
        <v>0</v>
      </c>
      <c r="C257" s="39">
        <v>-7968789</v>
      </c>
      <c r="D257" s="39">
        <f t="shared" si="18"/>
        <v>7968789</v>
      </c>
      <c r="E257" s="99" t="s">
        <v>4514</v>
      </c>
      <c r="F257" s="99">
        <v>1</v>
      </c>
      <c r="G257" s="36">
        <f t="shared" si="21"/>
        <v>35</v>
      </c>
      <c r="H257" s="99">
        <f t="shared" si="15"/>
        <v>0</v>
      </c>
      <c r="I257" s="99">
        <f t="shared" si="13"/>
        <v>0</v>
      </c>
      <c r="J257" s="99">
        <f t="shared" si="20"/>
        <v>-278907615</v>
      </c>
      <c r="K257" s="99">
        <f t="shared" si="17"/>
        <v>278907615</v>
      </c>
    </row>
    <row r="258" spans="1:13">
      <c r="A258" s="99" t="s">
        <v>4516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34</v>
      </c>
      <c r="H258" s="99">
        <f t="shared" si="15"/>
        <v>0</v>
      </c>
      <c r="I258" s="99">
        <f t="shared" si="13"/>
        <v>-44642000</v>
      </c>
      <c r="J258" s="99">
        <f t="shared" si="20"/>
        <v>0</v>
      </c>
      <c r="K258" s="99">
        <f t="shared" si="17"/>
        <v>-44642000</v>
      </c>
    </row>
    <row r="259" spans="1:13">
      <c r="A259" s="99" t="s">
        <v>4524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31</v>
      </c>
      <c r="H259" s="99">
        <f t="shared" si="15"/>
        <v>1</v>
      </c>
      <c r="I259" s="99">
        <f t="shared" si="13"/>
        <v>60000000</v>
      </c>
      <c r="J259" s="99">
        <f t="shared" si="20"/>
        <v>0</v>
      </c>
      <c r="K259" s="99">
        <f t="shared" si="17"/>
        <v>60000000</v>
      </c>
      <c r="M259" t="s">
        <v>25</v>
      </c>
    </row>
    <row r="260" spans="1:13">
      <c r="A260" s="99" t="s">
        <v>4525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30</v>
      </c>
      <c r="H260" s="99">
        <f t="shared" si="15"/>
        <v>0</v>
      </c>
      <c r="I260" s="99">
        <f t="shared" si="13"/>
        <v>-57000000</v>
      </c>
      <c r="J260" s="99">
        <f t="shared" si="20"/>
        <v>0</v>
      </c>
      <c r="K260" s="99">
        <f t="shared" si="17"/>
        <v>-57000000</v>
      </c>
    </row>
    <row r="261" spans="1:13">
      <c r="A261" s="99" t="s">
        <v>4525</v>
      </c>
      <c r="B261" s="18">
        <v>-100500</v>
      </c>
      <c r="C261" s="18">
        <v>0</v>
      </c>
      <c r="D261" s="18">
        <f t="shared" si="18"/>
        <v>-100500</v>
      </c>
      <c r="E261" s="99" t="s">
        <v>4527</v>
      </c>
      <c r="F261" s="99">
        <v>0</v>
      </c>
      <c r="G261" s="36">
        <f t="shared" si="21"/>
        <v>30</v>
      </c>
      <c r="H261" s="99">
        <f t="shared" si="15"/>
        <v>0</v>
      </c>
      <c r="I261" s="99">
        <f t="shared" si="13"/>
        <v>-3015000</v>
      </c>
      <c r="J261" s="99">
        <f t="shared" si="20"/>
        <v>0</v>
      </c>
      <c r="K261" s="99">
        <f t="shared" si="17"/>
        <v>-3015000</v>
      </c>
    </row>
    <row r="262" spans="1:13">
      <c r="A262" s="99" t="s">
        <v>4525</v>
      </c>
      <c r="B262" s="18">
        <v>-68670</v>
      </c>
      <c r="C262" s="18">
        <v>0</v>
      </c>
      <c r="D262" s="18">
        <f t="shared" si="18"/>
        <v>-68670</v>
      </c>
      <c r="E262" s="99" t="s">
        <v>4531</v>
      </c>
      <c r="F262" s="99">
        <v>1</v>
      </c>
      <c r="G262" s="36">
        <f t="shared" si="21"/>
        <v>30</v>
      </c>
      <c r="H262" s="99">
        <f t="shared" si="15"/>
        <v>0</v>
      </c>
      <c r="I262" s="99">
        <f t="shared" si="13"/>
        <v>-2060100</v>
      </c>
      <c r="J262" s="99">
        <f t="shared" si="20"/>
        <v>0</v>
      </c>
      <c r="K262" s="99">
        <f t="shared" si="17"/>
        <v>-2060100</v>
      </c>
    </row>
    <row r="263" spans="1:13">
      <c r="A263" s="99" t="s">
        <v>4528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29</v>
      </c>
      <c r="H263" s="99">
        <f t="shared" si="15"/>
        <v>0</v>
      </c>
      <c r="I263" s="99">
        <f t="shared" si="13"/>
        <v>-3439400</v>
      </c>
      <c r="J263" s="99">
        <f t="shared" si="20"/>
        <v>0</v>
      </c>
      <c r="K263" s="99">
        <f t="shared" si="17"/>
        <v>-3439400</v>
      </c>
      <c r="L263" t="s">
        <v>25</v>
      </c>
    </row>
    <row r="264" spans="1:13">
      <c r="A264" s="99" t="s">
        <v>4539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27</v>
      </c>
      <c r="H264" s="99">
        <f t="shared" si="15"/>
        <v>1</v>
      </c>
      <c r="I264" s="99">
        <f t="shared" si="13"/>
        <v>176254000</v>
      </c>
      <c r="J264" s="99">
        <f t="shared" si="20"/>
        <v>0</v>
      </c>
      <c r="K264" s="99">
        <f t="shared" si="17"/>
        <v>176254000</v>
      </c>
    </row>
    <row r="265" spans="1:13">
      <c r="A265" s="99" t="s">
        <v>4539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27</v>
      </c>
      <c r="H265" s="99">
        <f t="shared" si="15"/>
        <v>0</v>
      </c>
      <c r="I265" s="99">
        <f t="shared" si="13"/>
        <v>-172800000</v>
      </c>
      <c r="J265" s="99">
        <f t="shared" si="20"/>
        <v>0</v>
      </c>
      <c r="K265" s="99">
        <f t="shared" si="17"/>
        <v>-172800000</v>
      </c>
    </row>
    <row r="266" spans="1:13">
      <c r="A266" s="99" t="s">
        <v>4539</v>
      </c>
      <c r="B266" s="18">
        <v>-389000</v>
      </c>
      <c r="C266" s="18">
        <v>0</v>
      </c>
      <c r="D266" s="18">
        <f t="shared" si="18"/>
        <v>-389000</v>
      </c>
      <c r="E266" s="99" t="s">
        <v>4542</v>
      </c>
      <c r="F266" s="99">
        <v>4</v>
      </c>
      <c r="G266" s="36">
        <f t="shared" si="21"/>
        <v>27</v>
      </c>
      <c r="H266" s="99">
        <f t="shared" si="15"/>
        <v>0</v>
      </c>
      <c r="I266" s="99">
        <f t="shared" si="13"/>
        <v>-10503000</v>
      </c>
      <c r="J266" s="99">
        <f t="shared" si="20"/>
        <v>0</v>
      </c>
      <c r="K266" s="99">
        <f t="shared" si="17"/>
        <v>-10503000</v>
      </c>
      <c r="M266" t="s">
        <v>25</v>
      </c>
    </row>
    <row r="267" spans="1:13">
      <c r="A267" s="99" t="s">
        <v>4567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23</v>
      </c>
      <c r="H267" s="99">
        <f t="shared" si="15"/>
        <v>1</v>
      </c>
      <c r="I267" s="99">
        <f t="shared" si="13"/>
        <v>4840000</v>
      </c>
      <c r="J267" s="99">
        <f t="shared" si="20"/>
        <v>0</v>
      </c>
      <c r="K267" s="99">
        <f t="shared" si="17"/>
        <v>4840000</v>
      </c>
    </row>
    <row r="268" spans="1:13">
      <c r="A268" s="99" t="s">
        <v>4568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23</v>
      </c>
      <c r="H268" s="99">
        <f t="shared" si="15"/>
        <v>0</v>
      </c>
      <c r="I268" s="99">
        <f t="shared" si="13"/>
        <v>-2515970</v>
      </c>
      <c r="J268" s="99">
        <f t="shared" si="20"/>
        <v>0</v>
      </c>
      <c r="K268" s="99">
        <f t="shared" si="17"/>
        <v>-2515970</v>
      </c>
    </row>
    <row r="269" spans="1:13">
      <c r="A269" s="99" t="s">
        <v>4571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21</v>
      </c>
      <c r="H269" s="99">
        <f t="shared" si="15"/>
        <v>1</v>
      </c>
      <c r="I269" s="99">
        <f t="shared" si="13"/>
        <v>2000000</v>
      </c>
      <c r="J269" s="99">
        <f t="shared" si="20"/>
        <v>0</v>
      </c>
      <c r="K269" s="99">
        <f t="shared" si="17"/>
        <v>2000000</v>
      </c>
    </row>
    <row r="270" spans="1:13">
      <c r="A270" s="99" t="s">
        <v>4571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21</v>
      </c>
      <c r="H270" s="99">
        <f t="shared" si="15"/>
        <v>1</v>
      </c>
      <c r="I270" s="99">
        <f t="shared" si="13"/>
        <v>52000000</v>
      </c>
      <c r="J270" s="99">
        <f t="shared" si="20"/>
        <v>0</v>
      </c>
      <c r="K270" s="99">
        <f t="shared" si="17"/>
        <v>52000000</v>
      </c>
      <c r="L270" t="s">
        <v>25</v>
      </c>
    </row>
    <row r="271" spans="1:13">
      <c r="A271" s="99" t="s">
        <v>4577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20</v>
      </c>
      <c r="H271" s="99">
        <f t="shared" si="15"/>
        <v>1</v>
      </c>
      <c r="I271" s="99">
        <f t="shared" si="13"/>
        <v>83600000</v>
      </c>
      <c r="J271" s="99">
        <f t="shared" si="20"/>
        <v>0</v>
      </c>
      <c r="K271" s="99">
        <f t="shared" si="17"/>
        <v>83600000</v>
      </c>
    </row>
    <row r="272" spans="1:13">
      <c r="A272" s="99" t="s">
        <v>4577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20</v>
      </c>
      <c r="H272" s="99">
        <f t="shared" si="15"/>
        <v>0</v>
      </c>
      <c r="I272" s="99">
        <f t="shared" si="13"/>
        <v>-1900000</v>
      </c>
      <c r="J272" s="99">
        <f t="shared" si="20"/>
        <v>0</v>
      </c>
      <c r="K272" s="99">
        <f t="shared" si="17"/>
        <v>-1900000</v>
      </c>
    </row>
    <row r="273" spans="1:12">
      <c r="A273" s="99" t="s">
        <v>4582</v>
      </c>
      <c r="B273" s="18">
        <v>-900000</v>
      </c>
      <c r="C273" s="18">
        <v>0</v>
      </c>
      <c r="D273" s="18">
        <f t="shared" si="18"/>
        <v>-900000</v>
      </c>
      <c r="E273" s="99" t="s">
        <v>4590</v>
      </c>
      <c r="F273" s="99">
        <v>1</v>
      </c>
      <c r="G273" s="36">
        <f t="shared" si="21"/>
        <v>19</v>
      </c>
      <c r="H273" s="99">
        <f t="shared" si="15"/>
        <v>0</v>
      </c>
      <c r="I273" s="99">
        <f t="shared" si="13"/>
        <v>-17100000</v>
      </c>
      <c r="J273" s="99">
        <f t="shared" si="20"/>
        <v>0</v>
      </c>
      <c r="K273" s="99">
        <f t="shared" si="17"/>
        <v>-17100000</v>
      </c>
    </row>
    <row r="274" spans="1:12">
      <c r="A274" s="99" t="s">
        <v>4587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18</v>
      </c>
      <c r="H274" s="99">
        <f t="shared" si="15"/>
        <v>1</v>
      </c>
      <c r="I274" s="99">
        <f t="shared" si="13"/>
        <v>42500000</v>
      </c>
      <c r="J274" s="99">
        <f t="shared" si="20"/>
        <v>0</v>
      </c>
      <c r="K274" s="99">
        <f t="shared" si="17"/>
        <v>42500000</v>
      </c>
    </row>
    <row r="275" spans="1:12">
      <c r="A275" s="99" t="s">
        <v>4587</v>
      </c>
      <c r="B275" s="18">
        <v>-1287000</v>
      </c>
      <c r="C275" s="18">
        <v>0</v>
      </c>
      <c r="D275" s="18">
        <f t="shared" si="18"/>
        <v>-1287000</v>
      </c>
      <c r="E275" s="99" t="s">
        <v>4588</v>
      </c>
      <c r="F275" s="99">
        <v>2</v>
      </c>
      <c r="G275" s="36">
        <f t="shared" si="21"/>
        <v>18</v>
      </c>
      <c r="H275" s="99">
        <f t="shared" si="15"/>
        <v>0</v>
      </c>
      <c r="I275" s="99">
        <f t="shared" si="13"/>
        <v>-23166000</v>
      </c>
      <c r="J275" s="99">
        <f t="shared" si="20"/>
        <v>0</v>
      </c>
      <c r="K275" s="99">
        <f t="shared" si="17"/>
        <v>-23166000</v>
      </c>
    </row>
    <row r="276" spans="1:12">
      <c r="A276" s="99" t="s">
        <v>4584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16</v>
      </c>
      <c r="H276" s="99">
        <f t="shared" si="15"/>
        <v>1</v>
      </c>
      <c r="I276" s="99">
        <f t="shared" si="13"/>
        <v>57000000</v>
      </c>
      <c r="J276" s="99">
        <f t="shared" si="20"/>
        <v>0</v>
      </c>
      <c r="K276" s="99">
        <f t="shared" si="17"/>
        <v>57000000</v>
      </c>
    </row>
    <row r="277" spans="1:12">
      <c r="A277" s="99" t="s">
        <v>4597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15</v>
      </c>
      <c r="H277" s="99">
        <f t="shared" si="15"/>
        <v>1</v>
      </c>
      <c r="I277" s="99">
        <f t="shared" si="13"/>
        <v>294000000</v>
      </c>
      <c r="J277" s="99">
        <f t="shared" si="20"/>
        <v>0</v>
      </c>
      <c r="K277" s="99">
        <f t="shared" si="17"/>
        <v>294000000</v>
      </c>
    </row>
    <row r="278" spans="1:12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14</v>
      </c>
      <c r="H278" s="99">
        <f t="shared" si="15"/>
        <v>1</v>
      </c>
      <c r="I278" s="99">
        <f t="shared" si="13"/>
        <v>39000000</v>
      </c>
      <c r="J278" s="99">
        <f t="shared" si="20"/>
        <v>0</v>
      </c>
      <c r="K278" s="99">
        <f t="shared" si="17"/>
        <v>39000000</v>
      </c>
    </row>
    <row r="279" spans="1:12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14</v>
      </c>
      <c r="H279" s="99">
        <f t="shared" si="15"/>
        <v>1</v>
      </c>
      <c r="I279" s="99">
        <f t="shared" si="13"/>
        <v>26000000</v>
      </c>
      <c r="J279" s="99">
        <f t="shared" si="20"/>
        <v>0</v>
      </c>
      <c r="K279" s="99">
        <f t="shared" si="17"/>
        <v>26000000</v>
      </c>
    </row>
    <row r="280" spans="1:12">
      <c r="A280" s="99" t="s">
        <v>4607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13</v>
      </c>
      <c r="H280" s="99">
        <f t="shared" si="15"/>
        <v>0</v>
      </c>
      <c r="I280" s="99">
        <f t="shared" si="13"/>
        <v>-26000000</v>
      </c>
      <c r="J280" s="99">
        <f t="shared" si="20"/>
        <v>0</v>
      </c>
      <c r="K280" s="99">
        <f t="shared" si="17"/>
        <v>-26000000</v>
      </c>
    </row>
    <row r="281" spans="1:12">
      <c r="A281" s="99" t="s">
        <v>4609</v>
      </c>
      <c r="B281" s="18">
        <v>-10000000</v>
      </c>
      <c r="C281" s="18">
        <v>0</v>
      </c>
      <c r="D281" s="18">
        <f t="shared" si="18"/>
        <v>-10000000</v>
      </c>
      <c r="E281" s="99" t="s">
        <v>3771</v>
      </c>
      <c r="F281" s="99">
        <v>4</v>
      </c>
      <c r="G281" s="36">
        <f t="shared" si="21"/>
        <v>12</v>
      </c>
      <c r="H281" s="99">
        <f t="shared" si="15"/>
        <v>0</v>
      </c>
      <c r="I281" s="99">
        <f t="shared" si="13"/>
        <v>-120000000</v>
      </c>
      <c r="J281" s="99">
        <f t="shared" si="20"/>
        <v>0</v>
      </c>
      <c r="K281" s="99">
        <f t="shared" si="17"/>
        <v>-120000000</v>
      </c>
    </row>
    <row r="282" spans="1:12">
      <c r="A282" s="99" t="s">
        <v>4611</v>
      </c>
      <c r="B282" s="18">
        <v>-16700000</v>
      </c>
      <c r="C282" s="18">
        <v>0</v>
      </c>
      <c r="D282" s="18">
        <f t="shared" si="18"/>
        <v>-16700000</v>
      </c>
      <c r="E282" s="99" t="s">
        <v>3771</v>
      </c>
      <c r="F282" s="99">
        <v>2</v>
      </c>
      <c r="G282" s="36">
        <f t="shared" si="21"/>
        <v>8</v>
      </c>
      <c r="H282" s="99">
        <f t="shared" si="15"/>
        <v>0</v>
      </c>
      <c r="I282" s="99">
        <f t="shared" si="13"/>
        <v>-133600000</v>
      </c>
      <c r="J282" s="99">
        <f t="shared" ref="J282:J297" si="22">C282*(G282-H282)</f>
        <v>0</v>
      </c>
      <c r="K282" s="99">
        <f t="shared" ref="K282:K297" si="23">D282*(G282-H282)</f>
        <v>-133600000</v>
      </c>
    </row>
    <row r="283" spans="1:12">
      <c r="A283" s="99" t="s">
        <v>974</v>
      </c>
      <c r="B283" s="18">
        <v>12000000</v>
      </c>
      <c r="C283" s="18">
        <v>0</v>
      </c>
      <c r="D283" s="18">
        <f t="shared" si="18"/>
        <v>12000000</v>
      </c>
      <c r="E283" s="99" t="s">
        <v>3892</v>
      </c>
      <c r="F283" s="99">
        <v>1</v>
      </c>
      <c r="G283" s="36">
        <f t="shared" si="21"/>
        <v>6</v>
      </c>
      <c r="H283" s="99">
        <f t="shared" si="15"/>
        <v>1</v>
      </c>
      <c r="I283" s="99">
        <f t="shared" si="13"/>
        <v>60000000</v>
      </c>
      <c r="J283" s="99">
        <f t="shared" si="22"/>
        <v>0</v>
      </c>
      <c r="K283" s="99">
        <f t="shared" si="23"/>
        <v>60000000</v>
      </c>
    </row>
    <row r="284" spans="1:12">
      <c r="A284" s="99" t="s">
        <v>4626</v>
      </c>
      <c r="B284" s="18">
        <v>1900000</v>
      </c>
      <c r="C284" s="18">
        <v>0</v>
      </c>
      <c r="D284" s="18">
        <f t="shared" si="18"/>
        <v>1900000</v>
      </c>
      <c r="E284" s="99" t="s">
        <v>3892</v>
      </c>
      <c r="F284" s="99">
        <v>0</v>
      </c>
      <c r="G284" s="36">
        <f t="shared" si="21"/>
        <v>5</v>
      </c>
      <c r="H284" s="99">
        <f t="shared" si="15"/>
        <v>1</v>
      </c>
      <c r="I284" s="99">
        <f t="shared" si="13"/>
        <v>7600000</v>
      </c>
      <c r="J284" s="99">
        <f t="shared" si="22"/>
        <v>0</v>
      </c>
      <c r="K284" s="99">
        <f t="shared" si="23"/>
        <v>7600000</v>
      </c>
    </row>
    <row r="285" spans="1:12">
      <c r="A285" s="99" t="s">
        <v>4626</v>
      </c>
      <c r="B285" s="18">
        <v>-3995000</v>
      </c>
      <c r="C285" s="18">
        <v>0</v>
      </c>
      <c r="D285" s="18">
        <f t="shared" si="18"/>
        <v>-3995000</v>
      </c>
      <c r="E285" s="99" t="s">
        <v>4628</v>
      </c>
      <c r="F285" s="99">
        <v>3</v>
      </c>
      <c r="G285" s="36">
        <f t="shared" si="21"/>
        <v>5</v>
      </c>
      <c r="H285" s="99">
        <f t="shared" si="15"/>
        <v>0</v>
      </c>
      <c r="I285" s="99">
        <f t="shared" si="13"/>
        <v>-19975000</v>
      </c>
      <c r="J285" s="99">
        <f t="shared" si="22"/>
        <v>0</v>
      </c>
      <c r="K285" s="99">
        <f t="shared" si="23"/>
        <v>-19975000</v>
      </c>
    </row>
    <row r="286" spans="1:12">
      <c r="A286" s="99" t="s">
        <v>4636</v>
      </c>
      <c r="B286" s="18">
        <v>-2010700</v>
      </c>
      <c r="C286" s="18">
        <v>0</v>
      </c>
      <c r="D286" s="18">
        <f t="shared" si="18"/>
        <v>-2010700</v>
      </c>
      <c r="E286" s="99" t="s">
        <v>4641</v>
      </c>
      <c r="F286" s="99">
        <v>0</v>
      </c>
      <c r="G286" s="36">
        <f t="shared" si="21"/>
        <v>2</v>
      </c>
      <c r="H286" s="99">
        <f t="shared" si="15"/>
        <v>0</v>
      </c>
      <c r="I286" s="99">
        <f t="shared" si="13"/>
        <v>-4021400</v>
      </c>
      <c r="J286" s="99">
        <f t="shared" si="22"/>
        <v>0</v>
      </c>
      <c r="K286" s="99">
        <f t="shared" si="23"/>
        <v>-4021400</v>
      </c>
    </row>
    <row r="287" spans="1:12">
      <c r="A287" s="99" t="s">
        <v>4636</v>
      </c>
      <c r="B287" s="18">
        <v>-4000000</v>
      </c>
      <c r="C287" s="18">
        <v>0</v>
      </c>
      <c r="D287" s="18">
        <f t="shared" si="18"/>
        <v>-4000000</v>
      </c>
      <c r="E287" s="99" t="s">
        <v>3771</v>
      </c>
      <c r="F287" s="99">
        <v>1</v>
      </c>
      <c r="G287" s="36">
        <f t="shared" si="21"/>
        <v>2</v>
      </c>
      <c r="H287" s="99">
        <f t="shared" si="15"/>
        <v>0</v>
      </c>
      <c r="I287" s="99">
        <f t="shared" si="13"/>
        <v>-8000000</v>
      </c>
      <c r="J287" s="99">
        <f t="shared" si="22"/>
        <v>0</v>
      </c>
      <c r="K287" s="99">
        <f t="shared" si="23"/>
        <v>-8000000</v>
      </c>
    </row>
    <row r="288" spans="1:12">
      <c r="A288" s="99" t="s">
        <v>4643</v>
      </c>
      <c r="B288" s="18">
        <v>-5700000</v>
      </c>
      <c r="C288" s="18">
        <v>0</v>
      </c>
      <c r="D288" s="18">
        <f t="shared" si="18"/>
        <v>-5700000</v>
      </c>
      <c r="E288" s="99" t="s">
        <v>3771</v>
      </c>
      <c r="F288" s="99">
        <v>1</v>
      </c>
      <c r="G288" s="36">
        <f t="shared" si="21"/>
        <v>1</v>
      </c>
      <c r="H288" s="99">
        <f t="shared" si="15"/>
        <v>0</v>
      </c>
      <c r="I288" s="99">
        <f t="shared" si="13"/>
        <v>-5700000</v>
      </c>
      <c r="J288" s="99">
        <f t="shared" si="22"/>
        <v>0</v>
      </c>
      <c r="K288" s="99">
        <f t="shared" si="23"/>
        <v>-5700000</v>
      </c>
      <c r="L288" t="s">
        <v>25</v>
      </c>
    </row>
    <row r="289" spans="1:11">
      <c r="A289" s="99"/>
      <c r="B289" s="18"/>
      <c r="C289" s="18"/>
      <c r="D289" s="18"/>
      <c r="E289" s="99"/>
      <c r="F289" s="99"/>
      <c r="G289" s="36">
        <f t="shared" si="21"/>
        <v>0</v>
      </c>
      <c r="H289" s="99">
        <f t="shared" si="15"/>
        <v>0</v>
      </c>
      <c r="I289" s="99">
        <f t="shared" si="13"/>
        <v>0</v>
      </c>
      <c r="J289" s="99">
        <f t="shared" si="22"/>
        <v>0</v>
      </c>
      <c r="K289" s="99">
        <f t="shared" si="23"/>
        <v>0</v>
      </c>
    </row>
    <row r="290" spans="1:11">
      <c r="A290" s="99"/>
      <c r="B290" s="18"/>
      <c r="C290" s="18"/>
      <c r="D290" s="18"/>
      <c r="E290" s="99"/>
      <c r="F290" s="99"/>
      <c r="G290" s="36">
        <f t="shared" si="21"/>
        <v>0</v>
      </c>
      <c r="H290" s="99">
        <f t="shared" si="15"/>
        <v>0</v>
      </c>
      <c r="I290" s="99">
        <f t="shared" si="13"/>
        <v>0</v>
      </c>
      <c r="J290" s="99">
        <f t="shared" si="22"/>
        <v>0</v>
      </c>
      <c r="K290" s="99">
        <f t="shared" si="23"/>
        <v>0</v>
      </c>
    </row>
    <row r="291" spans="1:11">
      <c r="A291" s="99"/>
      <c r="B291" s="18"/>
      <c r="C291" s="18"/>
      <c r="D291" s="18"/>
      <c r="E291" s="99"/>
      <c r="F291" s="99"/>
      <c r="G291" s="36">
        <f t="shared" si="21"/>
        <v>0</v>
      </c>
      <c r="H291" s="99">
        <f t="shared" si="15"/>
        <v>0</v>
      </c>
      <c r="I291" s="99">
        <f t="shared" si="13"/>
        <v>0</v>
      </c>
      <c r="J291" s="99">
        <f t="shared" si="22"/>
        <v>0</v>
      </c>
      <c r="K291" s="99">
        <f t="shared" si="23"/>
        <v>0</v>
      </c>
    </row>
    <row r="292" spans="1:11">
      <c r="A292" s="99"/>
      <c r="B292" s="18"/>
      <c r="C292" s="18"/>
      <c r="D292" s="18"/>
      <c r="E292" s="99"/>
      <c r="F292" s="99"/>
      <c r="G292" s="36">
        <f t="shared" si="21"/>
        <v>0</v>
      </c>
      <c r="H292" s="99">
        <f t="shared" si="15"/>
        <v>0</v>
      </c>
      <c r="I292" s="99">
        <f t="shared" si="13"/>
        <v>0</v>
      </c>
      <c r="J292" s="99">
        <f t="shared" si="22"/>
        <v>0</v>
      </c>
      <c r="K292" s="99">
        <f t="shared" si="23"/>
        <v>0</v>
      </c>
    </row>
    <row r="293" spans="1:11">
      <c r="A293" s="99"/>
      <c r="B293" s="18"/>
      <c r="C293" s="18"/>
      <c r="D293" s="18"/>
      <c r="E293" s="99"/>
      <c r="F293" s="99"/>
      <c r="G293" s="36">
        <f t="shared" si="21"/>
        <v>0</v>
      </c>
      <c r="H293" s="99">
        <f t="shared" si="15"/>
        <v>0</v>
      </c>
      <c r="I293" s="99">
        <f t="shared" si="13"/>
        <v>0</v>
      </c>
      <c r="J293" s="99">
        <f t="shared" si="22"/>
        <v>0</v>
      </c>
      <c r="K293" s="99">
        <f t="shared" si="23"/>
        <v>0</v>
      </c>
    </row>
    <row r="294" spans="1:11">
      <c r="A294" s="99"/>
      <c r="B294" s="18"/>
      <c r="C294" s="18"/>
      <c r="D294" s="18"/>
      <c r="E294" s="99"/>
      <c r="F294" s="99"/>
      <c r="G294" s="36">
        <f t="shared" si="21"/>
        <v>0</v>
      </c>
      <c r="H294" s="99">
        <f t="shared" si="15"/>
        <v>0</v>
      </c>
      <c r="I294" s="99">
        <f t="shared" si="13"/>
        <v>0</v>
      </c>
      <c r="J294" s="99">
        <f t="shared" si="22"/>
        <v>0</v>
      </c>
      <c r="K294" s="99">
        <f t="shared" si="23"/>
        <v>0</v>
      </c>
    </row>
    <row r="295" spans="1:11">
      <c r="A295" s="99" t="s">
        <v>25</v>
      </c>
      <c r="B295" s="18"/>
      <c r="C295" s="18"/>
      <c r="D295" s="18"/>
      <c r="E295" s="99"/>
      <c r="F295" s="99"/>
      <c r="G295" s="36">
        <f t="shared" si="21"/>
        <v>0</v>
      </c>
      <c r="H295" s="99">
        <f t="shared" si="15"/>
        <v>0</v>
      </c>
      <c r="I295" s="99">
        <f t="shared" si="13"/>
        <v>0</v>
      </c>
      <c r="J295" s="99">
        <f t="shared" si="22"/>
        <v>0</v>
      </c>
      <c r="K295" s="99">
        <f t="shared" si="23"/>
        <v>0</v>
      </c>
    </row>
    <row r="296" spans="1:11">
      <c r="A296" s="99"/>
      <c r="B296" s="18"/>
      <c r="C296" s="18"/>
      <c r="D296" s="18"/>
      <c r="E296" s="99"/>
      <c r="F296" s="99"/>
      <c r="G296" s="36">
        <f t="shared" si="21"/>
        <v>0</v>
      </c>
      <c r="H296" s="99">
        <f t="shared" si="15"/>
        <v>0</v>
      </c>
      <c r="I296" s="99">
        <f t="shared" si="13"/>
        <v>0</v>
      </c>
      <c r="J296" s="99">
        <f t="shared" si="22"/>
        <v>0</v>
      </c>
      <c r="K296" s="99">
        <f t="shared" si="23"/>
        <v>0</v>
      </c>
    </row>
    <row r="297" spans="1:11">
      <c r="A297" s="99"/>
      <c r="B297" s="18"/>
      <c r="C297" s="18"/>
      <c r="D297" s="18"/>
      <c r="E297" s="99"/>
      <c r="F297" s="99"/>
      <c r="G297" s="36">
        <f t="shared" si="21"/>
        <v>0</v>
      </c>
      <c r="H297" s="99">
        <f t="shared" si="15"/>
        <v>0</v>
      </c>
      <c r="I297" s="99">
        <f t="shared" si="13"/>
        <v>0</v>
      </c>
      <c r="J297" s="99">
        <f t="shared" si="22"/>
        <v>0</v>
      </c>
      <c r="K297" s="99">
        <f t="shared" si="23"/>
        <v>0</v>
      </c>
    </row>
    <row r="298" spans="1:11">
      <c r="A298" s="11"/>
      <c r="B298" s="18"/>
      <c r="C298" s="18"/>
      <c r="D298" s="18">
        <f t="shared" si="18"/>
        <v>0</v>
      </c>
      <c r="E298" s="11"/>
      <c r="F298" s="11">
        <v>0</v>
      </c>
      <c r="G298" s="36">
        <f t="shared" si="19"/>
        <v>0</v>
      </c>
      <c r="H298" s="99">
        <f t="shared" si="15"/>
        <v>0</v>
      </c>
      <c r="I298" s="99">
        <f t="shared" si="13"/>
        <v>0</v>
      </c>
      <c r="J298" s="99">
        <f t="shared" si="20"/>
        <v>0</v>
      </c>
      <c r="K298" s="99">
        <f t="shared" si="17"/>
        <v>0</v>
      </c>
    </row>
    <row r="299" spans="1:11">
      <c r="A299" s="11"/>
      <c r="B299" s="29">
        <f>SUM(B2:B298)</f>
        <v>6730341</v>
      </c>
      <c r="C299" s="29">
        <f>SUM(C2:C298)</f>
        <v>0</v>
      </c>
      <c r="D299" s="29">
        <f>SUM(D2:D298)</f>
        <v>6730341</v>
      </c>
      <c r="E299" s="11"/>
      <c r="F299" s="11"/>
      <c r="G299" s="11"/>
      <c r="H299" s="11"/>
      <c r="I299" s="29">
        <f>SUM(I2:I298)</f>
        <v>19134299476</v>
      </c>
      <c r="J299" s="29">
        <f>SUM(J2:J298)</f>
        <v>8687685429</v>
      </c>
      <c r="K299" s="29">
        <f>SUM(K2:K298)</f>
        <v>10446614047</v>
      </c>
    </row>
    <row r="300" spans="1:11">
      <c r="A300" s="11"/>
      <c r="B300" s="11" t="s">
        <v>283</v>
      </c>
      <c r="C300" s="11" t="s">
        <v>488</v>
      </c>
      <c r="D300" s="11" t="s">
        <v>489</v>
      </c>
      <c r="E300" s="11"/>
      <c r="F300" s="11"/>
      <c r="G300" s="11"/>
      <c r="H300" s="11"/>
      <c r="I300" s="11" t="s">
        <v>485</v>
      </c>
      <c r="J300" s="11" t="s">
        <v>486</v>
      </c>
      <c r="K300" s="11" t="s">
        <v>487</v>
      </c>
    </row>
    <row r="301" spans="1:1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>
      <c r="A302" s="11"/>
      <c r="B302" s="11"/>
      <c r="C302" s="11"/>
      <c r="D302" s="11"/>
      <c r="E302" s="11"/>
      <c r="F302" s="11"/>
      <c r="G302" s="11"/>
      <c r="H302" s="11"/>
      <c r="I302" s="3">
        <f>I299/G2</f>
        <v>18963626.834489595</v>
      </c>
      <c r="J302" s="29">
        <f>J299/G2</f>
        <v>8610193.6858275514</v>
      </c>
      <c r="K302" s="29">
        <f>K299/G2</f>
        <v>10353433.148662042</v>
      </c>
    </row>
    <row r="303" spans="1:11">
      <c r="A303" s="11"/>
      <c r="B303" s="11"/>
      <c r="C303" s="11"/>
      <c r="D303" s="11"/>
      <c r="E303" s="11"/>
      <c r="F303" s="11"/>
      <c r="G303" s="11"/>
      <c r="H303" s="11"/>
      <c r="I303" s="11" t="s">
        <v>491</v>
      </c>
      <c r="J303" s="11" t="s">
        <v>492</v>
      </c>
      <c r="K303" s="11" t="s">
        <v>493</v>
      </c>
    </row>
    <row r="306" spans="2:11" ht="30">
      <c r="B306" s="22" t="s">
        <v>854</v>
      </c>
      <c r="D306" s="98">
        <f>D299-D151+D152</f>
        <v>7926980</v>
      </c>
      <c r="G306" t="s">
        <v>25</v>
      </c>
      <c r="J306">
        <f>J299/I299*1448696</f>
        <v>657762.0020025752</v>
      </c>
      <c r="K306">
        <f>K299/I299*1448696</f>
        <v>790933.99799742491</v>
      </c>
    </row>
    <row r="307" spans="2:11">
      <c r="B307" s="7"/>
    </row>
    <row r="308" spans="2:11">
      <c r="B308" s="7"/>
      <c r="I308" t="s">
        <v>25</v>
      </c>
    </row>
    <row r="309" spans="2:11">
      <c r="I30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4597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workbookViewId="0">
      <pane ySplit="1" topLeftCell="A253" activePane="bottomLeft" state="frozen"/>
      <selection pane="bottomLeft" activeCell="C269" sqref="C26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957</v>
      </c>
      <c r="E2" s="11">
        <f>IF(B2&gt;0,1,0)</f>
        <v>1</v>
      </c>
      <c r="F2" s="11">
        <f>B2*(D2-E2)</f>
        <v>92445200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955</v>
      </c>
      <c r="E3" s="11">
        <f t="shared" ref="E3:E66" si="1">IF(B3&gt;0,1,0)</f>
        <v>1</v>
      </c>
      <c r="F3" s="11">
        <f t="shared" ref="F3:F66" si="2">B3*(D3-E3)</f>
        <v>2862000000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952</v>
      </c>
      <c r="E4" s="11">
        <f t="shared" si="1"/>
        <v>0</v>
      </c>
      <c r="F4" s="11">
        <f t="shared" si="2"/>
        <v>-190400000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950</v>
      </c>
      <c r="E5" s="11">
        <f t="shared" si="1"/>
        <v>0</v>
      </c>
      <c r="F5" s="11">
        <f t="shared" si="2"/>
        <v>-95000000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949</v>
      </c>
      <c r="E6" s="11">
        <f t="shared" si="1"/>
        <v>0</v>
      </c>
      <c r="F6" s="11">
        <f t="shared" si="2"/>
        <v>-52195000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948</v>
      </c>
      <c r="E7" s="11">
        <f t="shared" si="1"/>
        <v>0</v>
      </c>
      <c r="F7" s="11">
        <f t="shared" si="2"/>
        <v>-189600000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944</v>
      </c>
      <c r="E8" s="11">
        <f t="shared" si="1"/>
        <v>0</v>
      </c>
      <c r="F8" s="11">
        <f t="shared" si="2"/>
        <v>-188800000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934</v>
      </c>
      <c r="E9" s="11">
        <f t="shared" si="1"/>
        <v>0</v>
      </c>
      <c r="F9" s="11">
        <f t="shared" si="2"/>
        <v>-887767000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933</v>
      </c>
      <c r="E10" s="11">
        <f t="shared" si="1"/>
        <v>1</v>
      </c>
      <c r="F10" s="11">
        <f t="shared" si="2"/>
        <v>1864000000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931</v>
      </c>
      <c r="E11" s="11">
        <f t="shared" si="1"/>
        <v>0</v>
      </c>
      <c r="F11" s="11">
        <f t="shared" si="2"/>
        <v>-991515000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928</v>
      </c>
      <c r="E12" s="11">
        <f t="shared" si="1"/>
        <v>0</v>
      </c>
      <c r="F12" s="11">
        <f t="shared" si="2"/>
        <v>-41760000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927</v>
      </c>
      <c r="E13" s="11">
        <f t="shared" si="1"/>
        <v>0</v>
      </c>
      <c r="F13" s="11">
        <f t="shared" si="2"/>
        <v>-1854648900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923</v>
      </c>
      <c r="E14" s="11">
        <f t="shared" si="1"/>
        <v>0</v>
      </c>
      <c r="F14" s="11">
        <f t="shared" si="2"/>
        <v>-184600000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921</v>
      </c>
      <c r="E15" s="11">
        <f t="shared" si="1"/>
        <v>1</v>
      </c>
      <c r="F15" s="11">
        <f t="shared" si="2"/>
        <v>1840000000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921</v>
      </c>
      <c r="E16" s="11">
        <f t="shared" si="1"/>
        <v>1</v>
      </c>
      <c r="F16" s="11">
        <f t="shared" si="2"/>
        <v>1840000000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921</v>
      </c>
      <c r="E17" s="11">
        <f t="shared" si="1"/>
        <v>1</v>
      </c>
      <c r="F17" s="11">
        <f t="shared" si="2"/>
        <v>1104000000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921</v>
      </c>
      <c r="E18" s="11">
        <f t="shared" si="1"/>
        <v>1</v>
      </c>
      <c r="F18" s="11">
        <f t="shared" si="2"/>
        <v>920000000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920</v>
      </c>
      <c r="E19" s="11">
        <f t="shared" si="1"/>
        <v>1</v>
      </c>
      <c r="F19" s="11">
        <f t="shared" si="2"/>
        <v>2757000000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920</v>
      </c>
      <c r="E20" s="11">
        <f t="shared" si="1"/>
        <v>0</v>
      </c>
      <c r="F20" s="11">
        <f t="shared" si="2"/>
        <v>-398084000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920</v>
      </c>
      <c r="E21" s="11">
        <f t="shared" si="1"/>
        <v>0</v>
      </c>
      <c r="F21" s="11">
        <f t="shared" si="2"/>
        <v>-398084000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920</v>
      </c>
      <c r="E22" s="11">
        <f t="shared" si="1"/>
        <v>0</v>
      </c>
      <c r="F22" s="11">
        <f t="shared" si="2"/>
        <v>-398084000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920</v>
      </c>
      <c r="E23" s="11">
        <f t="shared" si="1"/>
        <v>0</v>
      </c>
      <c r="F23" s="11">
        <f t="shared" si="2"/>
        <v>-398084000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920</v>
      </c>
      <c r="E24" s="11">
        <f t="shared" si="1"/>
        <v>0</v>
      </c>
      <c r="F24" s="11">
        <f t="shared" si="2"/>
        <v>-398084000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920</v>
      </c>
      <c r="E25" s="11">
        <f t="shared" si="1"/>
        <v>0</v>
      </c>
      <c r="F25" s="11">
        <f t="shared" si="2"/>
        <v>-184000000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919</v>
      </c>
      <c r="E26" s="11">
        <f t="shared" si="1"/>
        <v>1</v>
      </c>
      <c r="F26" s="11">
        <f t="shared" si="2"/>
        <v>2754000000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917</v>
      </c>
      <c r="E27" s="11">
        <f t="shared" si="1"/>
        <v>0</v>
      </c>
      <c r="F27" s="11">
        <f t="shared" si="2"/>
        <v>-183400000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916</v>
      </c>
      <c r="E28" s="11">
        <f t="shared" si="1"/>
        <v>1</v>
      </c>
      <c r="F28" s="11">
        <f t="shared" si="2"/>
        <v>1830000000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915</v>
      </c>
      <c r="E29" s="11">
        <f t="shared" si="1"/>
        <v>0</v>
      </c>
      <c r="F29" s="11">
        <f t="shared" si="2"/>
        <v>-6405732000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914</v>
      </c>
      <c r="E30" s="11">
        <f t="shared" si="1"/>
        <v>0</v>
      </c>
      <c r="F30" s="11">
        <f t="shared" si="2"/>
        <v>-2742822600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913</v>
      </c>
      <c r="E31" s="11">
        <f t="shared" si="1"/>
        <v>0</v>
      </c>
      <c r="F31" s="11">
        <f t="shared" si="2"/>
        <v>-1548356700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910</v>
      </c>
      <c r="E32" s="11">
        <f t="shared" si="1"/>
        <v>1</v>
      </c>
      <c r="F32" s="11">
        <f t="shared" si="2"/>
        <v>903818700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904</v>
      </c>
      <c r="E33" s="11">
        <f t="shared" si="1"/>
        <v>1</v>
      </c>
      <c r="F33" s="11">
        <f t="shared" si="2"/>
        <v>31687173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903</v>
      </c>
      <c r="E34" s="11">
        <f t="shared" si="1"/>
        <v>0</v>
      </c>
      <c r="F34" s="11">
        <f t="shared" si="2"/>
        <v>-767550000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895</v>
      </c>
      <c r="E35" s="11">
        <f t="shared" si="1"/>
        <v>0</v>
      </c>
      <c r="F35" s="11">
        <f t="shared" si="2"/>
        <v>-170497500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894</v>
      </c>
      <c r="E36" s="11">
        <f t="shared" si="1"/>
        <v>1</v>
      </c>
      <c r="F36" s="11">
        <f t="shared" si="2"/>
        <v>178600000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894</v>
      </c>
      <c r="E37" s="11">
        <f t="shared" si="1"/>
        <v>0</v>
      </c>
      <c r="F37" s="11">
        <f t="shared" si="2"/>
        <v>-178800000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872</v>
      </c>
      <c r="E38" s="11">
        <f t="shared" si="1"/>
        <v>1</v>
      </c>
      <c r="F38" s="11">
        <f t="shared" si="2"/>
        <v>262002026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871</v>
      </c>
      <c r="E39" s="11">
        <f t="shared" si="1"/>
        <v>0</v>
      </c>
      <c r="F39" s="11">
        <f t="shared" si="2"/>
        <v>-82745000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871</v>
      </c>
      <c r="E40" s="11">
        <f t="shared" si="1"/>
        <v>0</v>
      </c>
      <c r="F40" s="11">
        <f t="shared" si="2"/>
        <v>-76737713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866</v>
      </c>
      <c r="E41" s="11">
        <f t="shared" si="1"/>
        <v>0</v>
      </c>
      <c r="F41" s="11">
        <f t="shared" si="2"/>
        <v>-103920000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844</v>
      </c>
      <c r="E42" s="11">
        <f t="shared" si="1"/>
        <v>1</v>
      </c>
      <c r="F42" s="11">
        <f t="shared" si="2"/>
        <v>843171972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840</v>
      </c>
      <c r="E43" s="11">
        <f t="shared" si="1"/>
        <v>0</v>
      </c>
      <c r="F43" s="11">
        <f t="shared" si="2"/>
        <v>-67200000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836</v>
      </c>
      <c r="E44" s="11">
        <f t="shared" si="1"/>
        <v>0</v>
      </c>
      <c r="F44" s="11">
        <f t="shared" si="2"/>
        <v>-176420244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835</v>
      </c>
      <c r="E45" s="11">
        <f t="shared" si="1"/>
        <v>0</v>
      </c>
      <c r="F45" s="11">
        <f t="shared" si="2"/>
        <v>-167000000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834</v>
      </c>
      <c r="E46" s="11">
        <f t="shared" si="1"/>
        <v>0</v>
      </c>
      <c r="F46" s="11">
        <f t="shared" si="2"/>
        <v>-79230000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832</v>
      </c>
      <c r="E47" s="11">
        <f t="shared" si="1"/>
        <v>0</v>
      </c>
      <c r="F47" s="11">
        <f t="shared" si="2"/>
        <v>-37440000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832</v>
      </c>
      <c r="E48" s="11">
        <f t="shared" si="1"/>
        <v>0</v>
      </c>
      <c r="F48" s="11">
        <f t="shared" si="2"/>
        <v>-53397760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829</v>
      </c>
      <c r="E49" s="11">
        <f t="shared" si="1"/>
        <v>0</v>
      </c>
      <c r="F49" s="11">
        <f t="shared" si="2"/>
        <v>-22784236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828</v>
      </c>
      <c r="E50" s="11">
        <f t="shared" si="1"/>
        <v>0</v>
      </c>
      <c r="F50" s="11">
        <f t="shared" si="2"/>
        <v>-116748000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828</v>
      </c>
      <c r="E51" s="11">
        <f t="shared" si="1"/>
        <v>0</v>
      </c>
      <c r="F51" s="11">
        <f t="shared" si="2"/>
        <v>-22145688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827</v>
      </c>
      <c r="E52" s="11">
        <f t="shared" si="1"/>
        <v>0</v>
      </c>
      <c r="F52" s="11">
        <f t="shared" si="2"/>
        <v>-44079100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826</v>
      </c>
      <c r="E53" s="11">
        <f t="shared" si="1"/>
        <v>1</v>
      </c>
      <c r="F53" s="11">
        <f t="shared" si="2"/>
        <v>825000000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820</v>
      </c>
      <c r="E54" s="11">
        <f t="shared" si="1"/>
        <v>0</v>
      </c>
      <c r="F54" s="11">
        <f t="shared" si="2"/>
        <v>-17220000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819</v>
      </c>
      <c r="E55" s="11">
        <f t="shared" si="1"/>
        <v>0</v>
      </c>
      <c r="F55" s="11">
        <f t="shared" si="2"/>
        <v>-803029500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819</v>
      </c>
      <c r="E56" s="11">
        <f t="shared" si="1"/>
        <v>0</v>
      </c>
      <c r="F56" s="11">
        <f t="shared" si="2"/>
        <v>-36855000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806</v>
      </c>
      <c r="E57" s="11">
        <f t="shared" si="1"/>
        <v>1</v>
      </c>
      <c r="F57" s="11">
        <f t="shared" si="2"/>
        <v>2419177145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806</v>
      </c>
      <c r="E58" s="11">
        <f t="shared" si="1"/>
        <v>1</v>
      </c>
      <c r="F58" s="11">
        <f t="shared" si="2"/>
        <v>1610000000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805</v>
      </c>
      <c r="E59" s="11">
        <f t="shared" si="1"/>
        <v>1</v>
      </c>
      <c r="F59" s="11">
        <f t="shared" si="2"/>
        <v>1608000000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805</v>
      </c>
      <c r="E60" s="11">
        <f t="shared" si="1"/>
        <v>0</v>
      </c>
      <c r="F60" s="11">
        <f t="shared" si="2"/>
        <v>-5636207500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781</v>
      </c>
      <c r="E61" s="11">
        <f t="shared" si="1"/>
        <v>1</v>
      </c>
      <c r="F61" s="11">
        <f t="shared" si="2"/>
        <v>2340000000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780</v>
      </c>
      <c r="E62" s="11">
        <f t="shared" si="1"/>
        <v>0</v>
      </c>
      <c r="F62" s="11">
        <f t="shared" si="2"/>
        <v>-21145020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780</v>
      </c>
      <c r="E63" s="11">
        <f t="shared" si="1"/>
        <v>0</v>
      </c>
      <c r="F63" s="11">
        <f t="shared" si="2"/>
        <v>-25731420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780</v>
      </c>
      <c r="E64" s="11">
        <f t="shared" si="1"/>
        <v>1</v>
      </c>
      <c r="F64" s="11">
        <f t="shared" si="2"/>
        <v>2337000000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780</v>
      </c>
      <c r="E65" s="11">
        <f t="shared" si="1"/>
        <v>1</v>
      </c>
      <c r="F65" s="11">
        <f t="shared" si="2"/>
        <v>2313630000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780</v>
      </c>
      <c r="E66" s="11">
        <f t="shared" si="1"/>
        <v>1</v>
      </c>
      <c r="F66" s="11">
        <f t="shared" si="2"/>
        <v>779000000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780</v>
      </c>
      <c r="E67" s="11">
        <f t="shared" ref="E67:E130" si="4">IF(B67&gt;0,1,0)</f>
        <v>1</v>
      </c>
      <c r="F67" s="11">
        <f t="shared" ref="F67:F248" si="5">B67*(D67-E67)</f>
        <v>23370000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779</v>
      </c>
      <c r="E68" s="11">
        <f t="shared" si="4"/>
        <v>1</v>
      </c>
      <c r="F68" s="11">
        <f t="shared" si="5"/>
        <v>23340000000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778</v>
      </c>
      <c r="E69" s="11">
        <f t="shared" si="4"/>
        <v>0</v>
      </c>
      <c r="F69" s="11">
        <f t="shared" si="5"/>
        <v>-155600000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778</v>
      </c>
      <c r="E70" s="11">
        <f t="shared" si="4"/>
        <v>1</v>
      </c>
      <c r="F70" s="11">
        <f t="shared" si="5"/>
        <v>1087800000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778</v>
      </c>
      <c r="E71" s="11">
        <f t="shared" si="4"/>
        <v>1</v>
      </c>
      <c r="F71" s="11">
        <f t="shared" si="5"/>
        <v>2020200000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778</v>
      </c>
      <c r="E72" s="11">
        <f t="shared" si="4"/>
        <v>0</v>
      </c>
      <c r="F72" s="11">
        <f t="shared" si="5"/>
        <v>-778000000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776</v>
      </c>
      <c r="E73" s="11">
        <f t="shared" si="4"/>
        <v>1</v>
      </c>
      <c r="F73" s="11">
        <f t="shared" si="5"/>
        <v>11625000000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771</v>
      </c>
      <c r="E74" s="11">
        <f t="shared" si="4"/>
        <v>0</v>
      </c>
      <c r="F74" s="11">
        <f t="shared" si="5"/>
        <v>-11568238200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769</v>
      </c>
      <c r="E75" s="11">
        <f t="shared" si="4"/>
        <v>0</v>
      </c>
      <c r="F75" s="11">
        <f t="shared" si="5"/>
        <v>-2307000000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769</v>
      </c>
      <c r="E76" s="11">
        <f t="shared" si="4"/>
        <v>0</v>
      </c>
      <c r="F76" s="11">
        <f t="shared" si="5"/>
        <v>-153800000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769</v>
      </c>
      <c r="E77" s="11">
        <f t="shared" si="4"/>
        <v>0</v>
      </c>
      <c r="F77" s="11">
        <f t="shared" si="5"/>
        <v>-9230307000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765</v>
      </c>
      <c r="E78" s="11">
        <f t="shared" si="4"/>
        <v>0</v>
      </c>
      <c r="F78" s="11">
        <f t="shared" si="5"/>
        <v>-2295688500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760</v>
      </c>
      <c r="E79" s="11">
        <f t="shared" si="4"/>
        <v>1</v>
      </c>
      <c r="F79" s="11">
        <f t="shared" si="5"/>
        <v>17457000000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755</v>
      </c>
      <c r="E80" s="11">
        <f t="shared" si="4"/>
        <v>0</v>
      </c>
      <c r="F80" s="11">
        <f t="shared" si="5"/>
        <v>-453377500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755</v>
      </c>
      <c r="E81" s="11">
        <f t="shared" si="4"/>
        <v>0</v>
      </c>
      <c r="F81" s="11">
        <f t="shared" si="5"/>
        <v>-151000000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754</v>
      </c>
      <c r="E82" s="11">
        <f t="shared" si="4"/>
        <v>1</v>
      </c>
      <c r="F82" s="11">
        <f t="shared" si="5"/>
        <v>213265413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754</v>
      </c>
      <c r="E83" s="11">
        <f t="shared" si="4"/>
        <v>0</v>
      </c>
      <c r="F83" s="11">
        <f t="shared" si="5"/>
        <v>-150800000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752</v>
      </c>
      <c r="E84" s="11">
        <f t="shared" si="4"/>
        <v>1</v>
      </c>
      <c r="F84" s="11">
        <f t="shared" si="5"/>
        <v>1502000000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749</v>
      </c>
      <c r="E85" s="11">
        <f t="shared" si="4"/>
        <v>0</v>
      </c>
      <c r="F85" s="11">
        <f t="shared" si="5"/>
        <v>-149800000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743</v>
      </c>
      <c r="E86" s="11">
        <f t="shared" si="4"/>
        <v>0</v>
      </c>
      <c r="F86" s="11">
        <f t="shared" si="5"/>
        <v>-148600000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741</v>
      </c>
      <c r="E87" s="11">
        <f t="shared" si="4"/>
        <v>0</v>
      </c>
      <c r="F87" s="11">
        <f t="shared" si="5"/>
        <v>-981825000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726</v>
      </c>
      <c r="E88" s="11">
        <f t="shared" si="4"/>
        <v>0</v>
      </c>
      <c r="F88" s="11">
        <f t="shared" si="5"/>
        <v>-363000000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726</v>
      </c>
      <c r="E89" s="11">
        <f t="shared" si="4"/>
        <v>0</v>
      </c>
      <c r="F89" s="11">
        <f t="shared" si="5"/>
        <v>-87120000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724</v>
      </c>
      <c r="E90" s="11">
        <f t="shared" si="4"/>
        <v>1</v>
      </c>
      <c r="F90" s="11">
        <f t="shared" si="5"/>
        <v>309592215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721</v>
      </c>
      <c r="E91" s="11">
        <f t="shared" si="4"/>
        <v>0</v>
      </c>
      <c r="F91" s="11">
        <f t="shared" si="5"/>
        <v>-2164442000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719</v>
      </c>
      <c r="E92" s="11">
        <f t="shared" si="4"/>
        <v>0</v>
      </c>
      <c r="F92" s="11">
        <f t="shared" si="5"/>
        <v>-147395000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719</v>
      </c>
      <c r="E93" s="11">
        <f t="shared" si="4"/>
        <v>0</v>
      </c>
      <c r="F93" s="11">
        <f t="shared" si="5"/>
        <v>-252009500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708</v>
      </c>
      <c r="E94" s="11">
        <f t="shared" si="4"/>
        <v>1</v>
      </c>
      <c r="F94" s="11">
        <f t="shared" si="5"/>
        <v>707000000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703</v>
      </c>
      <c r="E95" s="11">
        <f t="shared" si="4"/>
        <v>1</v>
      </c>
      <c r="F95" s="11">
        <f t="shared" si="5"/>
        <v>6318000000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701</v>
      </c>
      <c r="E96" s="11">
        <f t="shared" si="4"/>
        <v>0</v>
      </c>
      <c r="F96" s="11">
        <f t="shared" si="5"/>
        <v>-18226000000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701</v>
      </c>
      <c r="E97" s="11">
        <f t="shared" si="4"/>
        <v>0</v>
      </c>
      <c r="F97" s="11">
        <f t="shared" si="5"/>
        <v>-18226000000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701</v>
      </c>
      <c r="E98" s="11">
        <f t="shared" si="4"/>
        <v>1</v>
      </c>
      <c r="F98" s="11">
        <f t="shared" si="5"/>
        <v>18200000000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701</v>
      </c>
      <c r="E99" s="11">
        <f t="shared" si="4"/>
        <v>0</v>
      </c>
      <c r="F99" s="11">
        <f t="shared" si="5"/>
        <v>-140200000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699</v>
      </c>
      <c r="E100" s="11">
        <f t="shared" si="4"/>
        <v>1</v>
      </c>
      <c r="F100" s="11">
        <f t="shared" si="5"/>
        <v>20381600000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694</v>
      </c>
      <c r="E101" s="11">
        <f t="shared" si="4"/>
        <v>1</v>
      </c>
      <c r="F101" s="11">
        <f t="shared" si="5"/>
        <v>277161885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693</v>
      </c>
      <c r="E102" s="11">
        <f t="shared" si="4"/>
        <v>1</v>
      </c>
      <c r="F102" s="11">
        <f t="shared" si="5"/>
        <v>1384000000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692</v>
      </c>
      <c r="E103" s="11">
        <f t="shared" si="4"/>
        <v>1</v>
      </c>
      <c r="F103" s="11">
        <f t="shared" si="5"/>
        <v>5182500000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692</v>
      </c>
      <c r="E104" s="11">
        <f t="shared" si="4"/>
        <v>0</v>
      </c>
      <c r="F104" s="11">
        <f t="shared" si="5"/>
        <v>-45672000000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692</v>
      </c>
      <c r="E105" s="11">
        <f t="shared" si="4"/>
        <v>0</v>
      </c>
      <c r="F105" s="11">
        <f t="shared" si="5"/>
        <v>-100340000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690</v>
      </c>
      <c r="E106" s="11">
        <f t="shared" si="4"/>
        <v>1</v>
      </c>
      <c r="F106" s="11">
        <f t="shared" si="5"/>
        <v>4134000000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688</v>
      </c>
      <c r="E107" s="11">
        <f t="shared" si="4"/>
        <v>0</v>
      </c>
      <c r="F107" s="11">
        <f t="shared" si="5"/>
        <v>-4132059200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685</v>
      </c>
      <c r="E108" s="11">
        <f t="shared" si="4"/>
        <v>1</v>
      </c>
      <c r="F108" s="11">
        <f t="shared" si="5"/>
        <v>4104000000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673</v>
      </c>
      <c r="E109" s="11">
        <f t="shared" si="4"/>
        <v>0</v>
      </c>
      <c r="F109" s="11">
        <f t="shared" si="5"/>
        <v>-80760000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672</v>
      </c>
      <c r="E110" s="11">
        <f t="shared" si="4"/>
        <v>1</v>
      </c>
      <c r="F110" s="11">
        <f t="shared" si="5"/>
        <v>2684000000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671</v>
      </c>
      <c r="E111" s="11">
        <f t="shared" si="4"/>
        <v>1</v>
      </c>
      <c r="F111" s="11">
        <f t="shared" si="5"/>
        <v>1876000000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667</v>
      </c>
      <c r="E112" s="11">
        <f t="shared" si="4"/>
        <v>0</v>
      </c>
      <c r="F112" s="11">
        <f t="shared" si="5"/>
        <v>-133400000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666</v>
      </c>
      <c r="E113" s="11">
        <f t="shared" si="4"/>
        <v>1</v>
      </c>
      <c r="F113" s="11">
        <f t="shared" si="5"/>
        <v>48086150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649</v>
      </c>
      <c r="E114" s="11">
        <f t="shared" si="4"/>
        <v>0</v>
      </c>
      <c r="F114" s="11">
        <f t="shared" si="5"/>
        <v>-129800000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648</v>
      </c>
      <c r="E115" s="11">
        <f t="shared" si="4"/>
        <v>0</v>
      </c>
      <c r="F115" s="23">
        <f t="shared" si="5"/>
        <v>-7128000000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648</v>
      </c>
      <c r="E116" s="11">
        <f t="shared" si="4"/>
        <v>0</v>
      </c>
      <c r="F116" s="11">
        <f t="shared" si="5"/>
        <v>-129600000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646</v>
      </c>
      <c r="E117" s="11">
        <f t="shared" si="4"/>
        <v>0</v>
      </c>
      <c r="F117" s="11">
        <f t="shared" si="5"/>
        <v>-291023000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646</v>
      </c>
      <c r="E118" s="11">
        <f t="shared" si="4"/>
        <v>0</v>
      </c>
      <c r="F118" s="11">
        <f t="shared" si="5"/>
        <v>-129200000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640</v>
      </c>
      <c r="E119" s="11">
        <f t="shared" si="4"/>
        <v>0</v>
      </c>
      <c r="F119" s="11">
        <f t="shared" si="5"/>
        <v>-98912000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640</v>
      </c>
      <c r="E120" s="11">
        <f t="shared" si="4"/>
        <v>0</v>
      </c>
      <c r="F120" s="11">
        <f t="shared" si="5"/>
        <v>-204800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639</v>
      </c>
      <c r="E121" s="11">
        <f t="shared" si="4"/>
        <v>0</v>
      </c>
      <c r="F121" s="11">
        <f t="shared" si="5"/>
        <v>-276048000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633</v>
      </c>
      <c r="E122" s="11">
        <f t="shared" si="4"/>
        <v>1</v>
      </c>
      <c r="F122" s="11">
        <f t="shared" si="5"/>
        <v>46795176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612</v>
      </c>
      <c r="E123" s="11">
        <f t="shared" si="4"/>
        <v>0</v>
      </c>
      <c r="F123" s="11">
        <f t="shared" si="5"/>
        <v>-31824000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571</v>
      </c>
      <c r="E124" s="11">
        <f t="shared" si="4"/>
        <v>1</v>
      </c>
      <c r="F124" s="11">
        <f t="shared" si="5"/>
        <v>676590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570</v>
      </c>
      <c r="E125" s="11">
        <f t="shared" si="4"/>
        <v>1</v>
      </c>
      <c r="F125" s="11">
        <f t="shared" si="5"/>
        <v>1365600000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568</v>
      </c>
      <c r="E126" s="11">
        <f t="shared" si="4"/>
        <v>1</v>
      </c>
      <c r="F126" s="11">
        <f t="shared" si="5"/>
        <v>761367600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568</v>
      </c>
      <c r="E127" s="11">
        <f t="shared" si="4"/>
        <v>1</v>
      </c>
      <c r="F127" s="11">
        <f t="shared" si="5"/>
        <v>761367600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556</v>
      </c>
      <c r="E128" s="11">
        <f t="shared" si="4"/>
        <v>0</v>
      </c>
      <c r="F128" s="11">
        <f t="shared" si="5"/>
        <v>-111200000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554</v>
      </c>
      <c r="E129" s="11">
        <f t="shared" si="4"/>
        <v>0</v>
      </c>
      <c r="F129" s="11">
        <f>B129*(D129-E129)</f>
        <v>-8652372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553</v>
      </c>
      <c r="E130" s="11">
        <f t="shared" si="4"/>
        <v>0</v>
      </c>
      <c r="F130" s="11">
        <f t="shared" si="5"/>
        <v>-110600000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552</v>
      </c>
      <c r="E131" s="11">
        <f t="shared" ref="E131:E248" si="7">IF(B131&gt;0,1,0)</f>
        <v>0</v>
      </c>
      <c r="F131" s="11">
        <f t="shared" si="5"/>
        <v>-110400000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551</v>
      </c>
      <c r="E132" s="11">
        <f t="shared" si="7"/>
        <v>0</v>
      </c>
      <c r="F132" s="11">
        <f t="shared" si="5"/>
        <v>-214890000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551</v>
      </c>
      <c r="E133" s="11">
        <f t="shared" si="7"/>
        <v>0</v>
      </c>
      <c r="F133" s="11">
        <f t="shared" si="5"/>
        <v>-13499500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550</v>
      </c>
      <c r="E134" s="11">
        <f t="shared" si="7"/>
        <v>0</v>
      </c>
      <c r="F134" s="11">
        <f t="shared" si="5"/>
        <v>-52250000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546</v>
      </c>
      <c r="E135" s="11">
        <f t="shared" si="7"/>
        <v>0</v>
      </c>
      <c r="F135" s="11">
        <f t="shared" si="5"/>
        <v>-109200000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544</v>
      </c>
      <c r="E136" s="11">
        <f t="shared" si="7"/>
        <v>1</v>
      </c>
      <c r="F136" s="11">
        <f t="shared" si="5"/>
        <v>27150000000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543</v>
      </c>
      <c r="E137" s="11">
        <f t="shared" si="7"/>
        <v>1</v>
      </c>
      <c r="F137" s="11">
        <f t="shared" si="5"/>
        <v>6504000000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541</v>
      </c>
      <c r="E138" s="11">
        <f t="shared" si="7"/>
        <v>1</v>
      </c>
      <c r="F138" s="11">
        <f t="shared" si="5"/>
        <v>1080000000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540</v>
      </c>
      <c r="E139" s="11">
        <f t="shared" si="7"/>
        <v>1</v>
      </c>
      <c r="F139" s="11">
        <f t="shared" si="5"/>
        <v>47182982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527</v>
      </c>
      <c r="E140" s="11">
        <f t="shared" si="7"/>
        <v>0</v>
      </c>
      <c r="F140" s="11">
        <f t="shared" si="5"/>
        <v>-1581474300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526</v>
      </c>
      <c r="E141" s="11">
        <f t="shared" si="7"/>
        <v>0</v>
      </c>
      <c r="F141" s="11">
        <f t="shared" si="5"/>
        <v>-1578473400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509</v>
      </c>
      <c r="E142" s="11">
        <f t="shared" si="7"/>
        <v>1</v>
      </c>
      <c r="F142" s="11">
        <f t="shared" si="5"/>
        <v>305828700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509</v>
      </c>
      <c r="E143" s="11">
        <f t="shared" si="7"/>
        <v>0</v>
      </c>
      <c r="F143" s="11">
        <f t="shared" si="5"/>
        <v>-23414000000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478</v>
      </c>
      <c r="E144" s="11">
        <f t="shared" si="7"/>
        <v>1</v>
      </c>
      <c r="F144" s="11">
        <f t="shared" si="5"/>
        <v>73509039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477</v>
      </c>
      <c r="E145" s="11">
        <f t="shared" si="7"/>
        <v>1</v>
      </c>
      <c r="F145" s="11">
        <f t="shared" si="5"/>
        <v>1428000000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474</v>
      </c>
      <c r="E146" s="11">
        <f t="shared" si="7"/>
        <v>0</v>
      </c>
      <c r="F146" s="11">
        <f t="shared" si="5"/>
        <v>-94800000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469</v>
      </c>
      <c r="E147" s="11">
        <f t="shared" si="7"/>
        <v>0</v>
      </c>
      <c r="F147" s="11">
        <f t="shared" si="5"/>
        <v>-93800000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468</v>
      </c>
      <c r="E148" s="11">
        <f t="shared" si="7"/>
        <v>0</v>
      </c>
      <c r="F148" s="11">
        <f t="shared" si="5"/>
        <v>-93600000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464</v>
      </c>
      <c r="E149" s="11">
        <f t="shared" si="7"/>
        <v>0</v>
      </c>
      <c r="F149" s="11">
        <f t="shared" si="5"/>
        <v>-92800000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463</v>
      </c>
      <c r="E150" s="11">
        <f t="shared" si="7"/>
        <v>1</v>
      </c>
      <c r="F150" s="11">
        <f t="shared" si="5"/>
        <v>11121910800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461</v>
      </c>
      <c r="E151" s="11">
        <f t="shared" si="7"/>
        <v>0</v>
      </c>
      <c r="F151" s="11">
        <f t="shared" si="5"/>
        <v>-92200000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455</v>
      </c>
      <c r="E152" s="11">
        <f t="shared" si="7"/>
        <v>0</v>
      </c>
      <c r="F152" s="11">
        <f t="shared" si="5"/>
        <v>-13650000000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454</v>
      </c>
      <c r="E153" s="11">
        <f t="shared" si="7"/>
        <v>0</v>
      </c>
      <c r="F153" s="11">
        <f t="shared" si="5"/>
        <v>-23608000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454</v>
      </c>
      <c r="E154" s="11">
        <f t="shared" si="7"/>
        <v>0</v>
      </c>
      <c r="F154" s="11">
        <f t="shared" si="5"/>
        <v>-61744000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449</v>
      </c>
      <c r="E155" s="11">
        <f t="shared" si="7"/>
        <v>1</v>
      </c>
      <c r="F155" s="11">
        <f t="shared" si="5"/>
        <v>1344000000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448</v>
      </c>
      <c r="E156" s="11">
        <f t="shared" si="7"/>
        <v>1</v>
      </c>
      <c r="F156" s="11">
        <f t="shared" si="5"/>
        <v>84529041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448</v>
      </c>
      <c r="E157" s="11">
        <f t="shared" si="7"/>
        <v>1</v>
      </c>
      <c r="F157" s="11">
        <f t="shared" si="5"/>
        <v>10829781900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440</v>
      </c>
      <c r="E158" s="11">
        <f t="shared" si="7"/>
        <v>1</v>
      </c>
      <c r="F158" s="11">
        <f t="shared" si="5"/>
        <v>10665592800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440</v>
      </c>
      <c r="E159" s="11">
        <f t="shared" si="7"/>
        <v>0</v>
      </c>
      <c r="F159" s="11">
        <f t="shared" si="5"/>
        <v>-88440000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435</v>
      </c>
      <c r="E160" s="11">
        <f t="shared" si="7"/>
        <v>0</v>
      </c>
      <c r="F160" s="11">
        <f t="shared" si="5"/>
        <v>-87000000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432</v>
      </c>
      <c r="E161" s="11">
        <f t="shared" si="7"/>
        <v>0</v>
      </c>
      <c r="F161" s="11">
        <f t="shared" si="5"/>
        <v>-86400000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428</v>
      </c>
      <c r="E162" s="11">
        <f t="shared" si="7"/>
        <v>0</v>
      </c>
      <c r="F162" s="11">
        <f t="shared" si="5"/>
        <v>-85600000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425</v>
      </c>
      <c r="E163" s="11">
        <f t="shared" si="7"/>
        <v>0</v>
      </c>
      <c r="F163" s="11">
        <f t="shared" si="5"/>
        <v>-85000000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418</v>
      </c>
      <c r="E164" s="11">
        <f t="shared" si="7"/>
        <v>1</v>
      </c>
      <c r="F164" s="11">
        <f t="shared" si="5"/>
        <v>190850058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415</v>
      </c>
      <c r="E165" s="11">
        <f t="shared" si="7"/>
        <v>1</v>
      </c>
      <c r="F165" s="11">
        <f t="shared" si="5"/>
        <v>1117800000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415</v>
      </c>
      <c r="E166" s="11">
        <f t="shared" si="7"/>
        <v>1</v>
      </c>
      <c r="F166" s="11">
        <f t="shared" si="5"/>
        <v>1035000000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408</v>
      </c>
      <c r="E167" s="11">
        <f t="shared" si="7"/>
        <v>0</v>
      </c>
      <c r="F167" s="11">
        <f t="shared" si="5"/>
        <v>-81600000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406</v>
      </c>
      <c r="E168" s="11">
        <f t="shared" si="7"/>
        <v>0</v>
      </c>
      <c r="F168" s="11">
        <f t="shared" si="5"/>
        <v>-81200000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400</v>
      </c>
      <c r="E169" s="11">
        <f t="shared" si="7"/>
        <v>0</v>
      </c>
      <c r="F169" s="11">
        <f t="shared" si="5"/>
        <v>-80000000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397</v>
      </c>
      <c r="E170" s="11">
        <f t="shared" si="7"/>
        <v>0</v>
      </c>
      <c r="F170" s="11">
        <f t="shared" si="5"/>
        <v>-79400000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397</v>
      </c>
      <c r="E171" s="11">
        <f t="shared" si="7"/>
        <v>1</v>
      </c>
      <c r="F171" s="11">
        <f t="shared" si="5"/>
        <v>1188000000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394</v>
      </c>
      <c r="E172" s="11">
        <f t="shared" si="7"/>
        <v>0</v>
      </c>
      <c r="F172" s="11">
        <f t="shared" si="5"/>
        <v>-78800000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393</v>
      </c>
      <c r="E173" s="11">
        <f t="shared" si="7"/>
        <v>1</v>
      </c>
      <c r="F173" s="11">
        <f t="shared" si="5"/>
        <v>1176000000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392</v>
      </c>
      <c r="E174" s="11">
        <f t="shared" si="7"/>
        <v>1</v>
      </c>
      <c r="F174" s="11">
        <f t="shared" si="5"/>
        <v>782000000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391</v>
      </c>
      <c r="E175" s="11">
        <f t="shared" si="7"/>
        <v>1</v>
      </c>
      <c r="F175" s="11">
        <f t="shared" si="5"/>
        <v>507000000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389</v>
      </c>
      <c r="E176" s="11">
        <f t="shared" si="7"/>
        <v>0</v>
      </c>
      <c r="F176" s="11">
        <f t="shared" si="5"/>
        <v>-77800000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389</v>
      </c>
      <c r="E177" s="11">
        <f t="shared" si="7"/>
        <v>1</v>
      </c>
      <c r="F177" s="11">
        <f t="shared" si="5"/>
        <v>659600000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388</v>
      </c>
      <c r="E178" s="11">
        <f t="shared" si="7"/>
        <v>0</v>
      </c>
      <c r="F178" s="11">
        <f t="shared" si="5"/>
        <v>-77600000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387</v>
      </c>
      <c r="E179" s="11">
        <f t="shared" si="7"/>
        <v>1</v>
      </c>
      <c r="F179" s="11">
        <f t="shared" si="5"/>
        <v>220595912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384</v>
      </c>
      <c r="E180" s="11">
        <f t="shared" si="7"/>
        <v>1</v>
      </c>
      <c r="F180" s="11">
        <f t="shared" si="5"/>
        <v>1149000000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377</v>
      </c>
      <c r="E181" s="11">
        <f t="shared" si="7"/>
        <v>1</v>
      </c>
      <c r="F181" s="11">
        <f t="shared" si="5"/>
        <v>752000000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369</v>
      </c>
      <c r="E182" s="11">
        <f t="shared" si="7"/>
        <v>0</v>
      </c>
      <c r="F182" s="11">
        <f t="shared" si="5"/>
        <v>-812058300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357</v>
      </c>
      <c r="E183" s="11">
        <f t="shared" si="7"/>
        <v>1</v>
      </c>
      <c r="F183" s="11">
        <f t="shared" si="5"/>
        <v>240330972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327</v>
      </c>
      <c r="E184" s="11">
        <f t="shared" si="7"/>
        <v>1</v>
      </c>
      <c r="F184" s="11">
        <f t="shared" si="5"/>
        <v>220702000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312</v>
      </c>
      <c r="E185" s="11">
        <f t="shared" si="7"/>
        <v>0</v>
      </c>
      <c r="F185" s="11">
        <f t="shared" si="5"/>
        <v>-3120000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78" si="8">D187+C186</f>
        <v>307</v>
      </c>
      <c r="E186" s="11">
        <f t="shared" si="7"/>
        <v>0</v>
      </c>
      <c r="F186" s="11">
        <f t="shared" si="5"/>
        <v>-24713500000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302</v>
      </c>
      <c r="E187" s="11">
        <f t="shared" si="7"/>
        <v>0</v>
      </c>
      <c r="F187" s="11">
        <f t="shared" si="5"/>
        <v>-332200000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302</v>
      </c>
      <c r="E188" s="11">
        <f t="shared" si="7"/>
        <v>1</v>
      </c>
      <c r="F188" s="11">
        <f t="shared" si="5"/>
        <v>903000000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301</v>
      </c>
      <c r="E189" s="11">
        <f t="shared" si="7"/>
        <v>1</v>
      </c>
      <c r="F189" s="11">
        <f t="shared" si="5"/>
        <v>600000000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301</v>
      </c>
      <c r="E190" s="11">
        <f t="shared" si="7"/>
        <v>0</v>
      </c>
      <c r="F190" s="11">
        <f t="shared" si="5"/>
        <v>-1505000000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300</v>
      </c>
      <c r="E191" s="11">
        <f t="shared" si="7"/>
        <v>1</v>
      </c>
      <c r="F191" s="11">
        <f t="shared" si="5"/>
        <v>144491152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296</v>
      </c>
      <c r="E192" s="11">
        <f t="shared" si="7"/>
        <v>0</v>
      </c>
      <c r="F192" s="11">
        <f t="shared" si="5"/>
        <v>-34128800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292</v>
      </c>
      <c r="E193" s="11">
        <f t="shared" si="7"/>
        <v>1</v>
      </c>
      <c r="F193" s="11">
        <f t="shared" si="5"/>
        <v>26190000000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285</v>
      </c>
      <c r="E194" s="11">
        <f t="shared" si="7"/>
        <v>1</v>
      </c>
      <c r="F194" s="11">
        <f t="shared" si="5"/>
        <v>14768000000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285</v>
      </c>
      <c r="E195" s="11">
        <f t="shared" si="7"/>
        <v>1</v>
      </c>
      <c r="F195" s="99">
        <f t="shared" si="5"/>
        <v>7100000000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285</v>
      </c>
      <c r="E196" s="99">
        <f t="shared" si="7"/>
        <v>0</v>
      </c>
      <c r="F196" s="99">
        <f t="shared" si="5"/>
        <v>-47880000000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278</v>
      </c>
      <c r="E197" s="99">
        <f t="shared" si="7"/>
        <v>0</v>
      </c>
      <c r="F197" s="99">
        <f t="shared" si="5"/>
        <v>-46009000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274</v>
      </c>
      <c r="E198" s="99">
        <f t="shared" si="7"/>
        <v>0</v>
      </c>
      <c r="F198" s="99">
        <f t="shared" si="5"/>
        <v>-54800000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274</v>
      </c>
      <c r="E199" s="99">
        <f t="shared" si="7"/>
        <v>0</v>
      </c>
      <c r="F199" s="99">
        <f t="shared" si="5"/>
        <v>-12872794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271</v>
      </c>
      <c r="E200" s="99">
        <f t="shared" si="7"/>
        <v>0</v>
      </c>
      <c r="F200" s="99">
        <f t="shared" si="5"/>
        <v>-1260150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269</v>
      </c>
      <c r="E201" s="99">
        <f t="shared" si="7"/>
        <v>1</v>
      </c>
      <c r="F201" s="99">
        <f t="shared" si="5"/>
        <v>42833904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266</v>
      </c>
      <c r="E202" s="99">
        <f t="shared" si="7"/>
        <v>0</v>
      </c>
      <c r="F202" s="99">
        <f t="shared" si="5"/>
        <v>-79933000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266</v>
      </c>
      <c r="E203" s="99">
        <f t="shared" si="7"/>
        <v>1</v>
      </c>
      <c r="F203" s="99">
        <f t="shared" si="5"/>
        <v>1590000000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264</v>
      </c>
      <c r="E204" s="99">
        <f t="shared" si="7"/>
        <v>0</v>
      </c>
      <c r="F204" s="99">
        <f t="shared" si="5"/>
        <v>-180840000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263</v>
      </c>
      <c r="E205" s="99">
        <f t="shared" si="7"/>
        <v>0</v>
      </c>
      <c r="F205" s="99">
        <f t="shared" si="5"/>
        <v>-789000000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262</v>
      </c>
      <c r="E206" s="99">
        <f t="shared" si="7"/>
        <v>0</v>
      </c>
      <c r="F206" s="99">
        <f t="shared" si="5"/>
        <v>-40872000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261</v>
      </c>
      <c r="E207" s="99">
        <f t="shared" si="7"/>
        <v>0</v>
      </c>
      <c r="F207" s="99">
        <f t="shared" si="5"/>
        <v>-17226000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260</v>
      </c>
      <c r="E208" s="99">
        <f t="shared" si="7"/>
        <v>0</v>
      </c>
      <c r="F208" s="99">
        <f t="shared" si="5"/>
        <v>-650234000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258</v>
      </c>
      <c r="E209" s="99">
        <f t="shared" si="7"/>
        <v>1</v>
      </c>
      <c r="F209" s="99">
        <f t="shared" si="5"/>
        <v>771000000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258</v>
      </c>
      <c r="E210" s="99">
        <f t="shared" si="7"/>
        <v>0</v>
      </c>
      <c r="F210" s="99">
        <f t="shared" si="5"/>
        <v>-671161200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256</v>
      </c>
      <c r="E211" s="99">
        <f t="shared" si="7"/>
        <v>1</v>
      </c>
      <c r="F211" s="99">
        <f t="shared" si="5"/>
        <v>255000000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254</v>
      </c>
      <c r="E212" s="99">
        <f t="shared" si="7"/>
        <v>1</v>
      </c>
      <c r="F212" s="99">
        <f t="shared" si="5"/>
        <v>341550000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253</v>
      </c>
      <c r="E213" s="99">
        <f t="shared" si="7"/>
        <v>0</v>
      </c>
      <c r="F213" s="99">
        <f t="shared" si="5"/>
        <v>-556600000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253</v>
      </c>
      <c r="E214" s="99">
        <f t="shared" si="7"/>
        <v>0</v>
      </c>
      <c r="F214" s="99">
        <f t="shared" si="5"/>
        <v>-126626500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250</v>
      </c>
      <c r="E215" s="99">
        <f t="shared" si="7"/>
        <v>0</v>
      </c>
      <c r="F215" s="99">
        <f t="shared" si="5"/>
        <v>-11250000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250</v>
      </c>
      <c r="E216" s="99">
        <f t="shared" si="7"/>
        <v>1</v>
      </c>
      <c r="F216" s="99">
        <f t="shared" si="5"/>
        <v>249000000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250</v>
      </c>
      <c r="E217" s="99">
        <f t="shared" si="7"/>
        <v>0</v>
      </c>
      <c r="F217" s="99">
        <f t="shared" si="5"/>
        <v>-25000000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249</v>
      </c>
      <c r="E218" s="99">
        <f t="shared" si="7"/>
        <v>0</v>
      </c>
      <c r="F218" s="99">
        <f t="shared" si="5"/>
        <v>-74700000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246</v>
      </c>
      <c r="E219" s="99">
        <f t="shared" si="7"/>
        <v>0</v>
      </c>
      <c r="F219" s="99">
        <f t="shared" si="5"/>
        <v>-12523860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246</v>
      </c>
      <c r="E220" s="99">
        <f t="shared" si="7"/>
        <v>0</v>
      </c>
      <c r="F220" s="99">
        <f t="shared" si="5"/>
        <v>-135423000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244</v>
      </c>
      <c r="E221" s="99">
        <f t="shared" si="7"/>
        <v>1</v>
      </c>
      <c r="F221" s="99">
        <f t="shared" si="5"/>
        <v>388800000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243</v>
      </c>
      <c r="E222" s="99">
        <f t="shared" si="7"/>
        <v>0</v>
      </c>
      <c r="F222" s="99">
        <f t="shared" si="5"/>
        <v>-364670100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238</v>
      </c>
      <c r="E223" s="99">
        <f t="shared" si="7"/>
        <v>1</v>
      </c>
      <c r="F223" s="99">
        <f t="shared" si="5"/>
        <v>2042703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235</v>
      </c>
      <c r="E224" s="99">
        <f t="shared" si="7"/>
        <v>1</v>
      </c>
      <c r="F224" s="99">
        <f t="shared" si="5"/>
        <v>702000000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233</v>
      </c>
      <c r="E225" s="99">
        <f t="shared" si="7"/>
        <v>0</v>
      </c>
      <c r="F225" s="99">
        <f t="shared" si="5"/>
        <v>-699209700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232</v>
      </c>
      <c r="E226" s="99">
        <f t="shared" si="7"/>
        <v>1</v>
      </c>
      <c r="F226" s="99">
        <f t="shared" si="5"/>
        <v>693000000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232</v>
      </c>
      <c r="E227" s="99">
        <f t="shared" si="7"/>
        <v>0</v>
      </c>
      <c r="F227" s="99">
        <f t="shared" si="5"/>
        <v>-40692800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231</v>
      </c>
      <c r="E228" s="99">
        <f t="shared" si="7"/>
        <v>0</v>
      </c>
      <c r="F228" s="99">
        <f t="shared" si="5"/>
        <v>-277315500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231</v>
      </c>
      <c r="E229" s="99">
        <f t="shared" si="7"/>
        <v>0</v>
      </c>
      <c r="F229" s="99">
        <f t="shared" si="5"/>
        <v>-4748205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230</v>
      </c>
      <c r="E230" s="99">
        <f t="shared" si="7"/>
        <v>0</v>
      </c>
      <c r="F230" s="99">
        <f t="shared" si="5"/>
        <v>-233327180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229</v>
      </c>
      <c r="E231" s="99">
        <f t="shared" si="7"/>
        <v>0</v>
      </c>
      <c r="F231" s="99">
        <f t="shared" si="5"/>
        <v>-5547525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228</v>
      </c>
      <c r="E232" s="99">
        <f t="shared" si="7"/>
        <v>1</v>
      </c>
      <c r="F232" s="99">
        <f t="shared" si="5"/>
        <v>249700000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228</v>
      </c>
      <c r="E233" s="99">
        <f t="shared" si="7"/>
        <v>0</v>
      </c>
      <c r="F233" s="99">
        <f t="shared" si="5"/>
        <v>-33721200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224</v>
      </c>
      <c r="E234" s="99">
        <f t="shared" si="7"/>
        <v>0</v>
      </c>
      <c r="F234" s="99">
        <f t="shared" si="5"/>
        <v>-15224160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219</v>
      </c>
      <c r="E235" s="99">
        <f t="shared" si="7"/>
        <v>0</v>
      </c>
      <c r="F235" s="99">
        <f t="shared" si="5"/>
        <v>-25126746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218</v>
      </c>
      <c r="E236" s="99">
        <f t="shared" si="7"/>
        <v>0</v>
      </c>
      <c r="F236" s="99">
        <f t="shared" si="5"/>
        <v>-78480000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218</v>
      </c>
      <c r="E237" s="99">
        <f t="shared" si="7"/>
        <v>0</v>
      </c>
      <c r="F237" s="99">
        <f t="shared" si="5"/>
        <v>-45998000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218</v>
      </c>
      <c r="E238" s="99">
        <f t="shared" si="7"/>
        <v>0</v>
      </c>
      <c r="F238" s="99">
        <f t="shared" si="5"/>
        <v>-41354600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217</v>
      </c>
      <c r="E239" s="99">
        <f t="shared" si="7"/>
        <v>0</v>
      </c>
      <c r="F239" s="99">
        <f t="shared" si="5"/>
        <v>-86908500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217</v>
      </c>
      <c r="E240" s="99">
        <f t="shared" si="7"/>
        <v>1</v>
      </c>
      <c r="F240" s="99">
        <f t="shared" si="5"/>
        <v>86400000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214</v>
      </c>
      <c r="E241" s="99">
        <f t="shared" si="7"/>
        <v>0</v>
      </c>
      <c r="F241" s="99">
        <f t="shared" si="5"/>
        <v>-68667250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207</v>
      </c>
      <c r="E242" s="99">
        <f t="shared" si="7"/>
        <v>1</v>
      </c>
      <c r="F242" s="99">
        <f t="shared" si="5"/>
        <v>1251244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205</v>
      </c>
      <c r="E243" s="99">
        <f t="shared" si="7"/>
        <v>0</v>
      </c>
      <c r="F243" s="99">
        <f t="shared" si="5"/>
        <v>-75952500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190</v>
      </c>
      <c r="E244" s="99">
        <f t="shared" si="7"/>
        <v>1</v>
      </c>
      <c r="F244" s="99">
        <f t="shared" si="5"/>
        <v>567000000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188</v>
      </c>
      <c r="E245" s="99">
        <f t="shared" si="7"/>
        <v>0</v>
      </c>
      <c r="F245" s="99">
        <f t="shared" si="5"/>
        <v>-15040000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187</v>
      </c>
      <c r="E246" s="99">
        <f t="shared" si="7"/>
        <v>0</v>
      </c>
      <c r="F246" s="99">
        <f t="shared" si="5"/>
        <v>-504900000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187</v>
      </c>
      <c r="E247" s="99">
        <f t="shared" si="7"/>
        <v>0</v>
      </c>
      <c r="F247" s="99">
        <f t="shared" si="5"/>
        <v>-5610000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185</v>
      </c>
      <c r="E248" s="99">
        <f t="shared" si="7"/>
        <v>0</v>
      </c>
      <c r="F248" s="99">
        <f t="shared" si="5"/>
        <v>-22200000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184</v>
      </c>
      <c r="E249" s="99">
        <f>IF(B250&gt;0,1,0)</f>
        <v>1</v>
      </c>
      <c r="F249" s="99">
        <f>B250*(D249-E249)</f>
        <v>146400000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183</v>
      </c>
      <c r="E250" s="99">
        <f>IF(B251&gt;0,1,0)</f>
        <v>0</v>
      </c>
      <c r="F250" s="99">
        <f>B251*(D250-E250)</f>
        <v>-3559350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182</v>
      </c>
      <c r="E251" s="99">
        <f>IF(B252&gt;0,1,0)</f>
        <v>0</v>
      </c>
      <c r="F251" s="99">
        <f>B252*(D251-E251)</f>
        <v>-91000000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182</v>
      </c>
      <c r="E252" s="99">
        <f>IF(B253&gt;0,1,0)</f>
        <v>1</v>
      </c>
      <c r="F252" s="99">
        <f>B253*(D252-E252)</f>
        <v>90500000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182</v>
      </c>
      <c r="E253" s="99">
        <f t="shared" ref="E253:E278" si="9">IF(B254&gt;0,1,0)</f>
        <v>0</v>
      </c>
      <c r="F253" s="99">
        <f>B254*(D253-E253)</f>
        <v>-82739566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182</v>
      </c>
      <c r="E254" s="99">
        <f t="shared" si="9"/>
        <v>0</v>
      </c>
      <c r="F254" s="99">
        <f t="shared" ref="F254:F278" si="10">B255*(D254-E254)</f>
        <v>-3567200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181</v>
      </c>
      <c r="E255" s="99">
        <f t="shared" si="9"/>
        <v>0</v>
      </c>
      <c r="F255" s="99">
        <f t="shared" si="10"/>
        <v>-4564820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181</v>
      </c>
      <c r="E256" s="99">
        <f t="shared" si="9"/>
        <v>0</v>
      </c>
      <c r="F256" s="99">
        <f t="shared" si="10"/>
        <v>-27059500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180</v>
      </c>
      <c r="E257" s="99">
        <f t="shared" si="9"/>
        <v>0</v>
      </c>
      <c r="F257" s="99">
        <f t="shared" si="10"/>
        <v>-27900000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180</v>
      </c>
      <c r="E258" s="99">
        <f t="shared" si="9"/>
        <v>0</v>
      </c>
      <c r="F258" s="99">
        <f t="shared" si="10"/>
        <v>-900000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98</v>
      </c>
      <c r="E259" s="99">
        <f t="shared" si="9"/>
        <v>1</v>
      </c>
      <c r="F259" s="99">
        <f t="shared" si="10"/>
        <v>9700000</v>
      </c>
      <c r="G259" s="99" t="s">
        <v>4249</v>
      </c>
    </row>
    <row r="260" spans="1:11">
      <c r="A260" s="99" t="s">
        <v>4597</v>
      </c>
      <c r="B260" s="113">
        <v>100000</v>
      </c>
      <c r="C260" s="99">
        <v>1</v>
      </c>
      <c r="D260" s="99">
        <f t="shared" si="8"/>
        <v>16</v>
      </c>
      <c r="E260" s="99">
        <f t="shared" si="9"/>
        <v>1</v>
      </c>
      <c r="F260" s="99">
        <f t="shared" si="10"/>
        <v>45000000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3</v>
      </c>
      <c r="D261" s="99">
        <f t="shared" si="8"/>
        <v>15</v>
      </c>
      <c r="E261" s="99">
        <f t="shared" si="9"/>
        <v>0</v>
      </c>
      <c r="F261" s="99">
        <f t="shared" si="10"/>
        <v>-997500</v>
      </c>
      <c r="G261" s="99" t="s">
        <v>3892</v>
      </c>
    </row>
    <row r="262" spans="1:11">
      <c r="A262" s="99" t="s">
        <v>4619</v>
      </c>
      <c r="B262" s="113">
        <v>-66500</v>
      </c>
      <c r="C262" s="99">
        <v>2</v>
      </c>
      <c r="D262" s="99">
        <f t="shared" si="8"/>
        <v>12</v>
      </c>
      <c r="E262" s="99">
        <f t="shared" si="9"/>
        <v>0</v>
      </c>
      <c r="F262" s="99">
        <f t="shared" si="10"/>
        <v>-454536</v>
      </c>
      <c r="G262" s="99" t="s">
        <v>3965</v>
      </c>
      <c r="K262" t="s">
        <v>25</v>
      </c>
    </row>
    <row r="263" spans="1:11">
      <c r="A263" s="99" t="s">
        <v>4620</v>
      </c>
      <c r="B263" s="113">
        <v>-37878</v>
      </c>
      <c r="C263" s="99">
        <v>2</v>
      </c>
      <c r="D263" s="99">
        <f t="shared" si="8"/>
        <v>10</v>
      </c>
      <c r="E263" s="99">
        <f t="shared" si="9"/>
        <v>0</v>
      </c>
      <c r="F263" s="99">
        <f t="shared" si="10"/>
        <v>-415000</v>
      </c>
      <c r="G263" s="99" t="s">
        <v>4621</v>
      </c>
      <c r="J263" t="s">
        <v>25</v>
      </c>
      <c r="K263" t="s">
        <v>25</v>
      </c>
    </row>
    <row r="264" spans="1:11">
      <c r="A264" s="99" t="s">
        <v>4614</v>
      </c>
      <c r="B264" s="113">
        <v>-41500</v>
      </c>
      <c r="C264" s="99">
        <v>3</v>
      </c>
      <c r="D264" s="99">
        <f t="shared" si="8"/>
        <v>8</v>
      </c>
      <c r="E264" s="99">
        <f t="shared" si="9"/>
        <v>0</v>
      </c>
      <c r="F264" s="99">
        <f t="shared" si="10"/>
        <v>-1520000</v>
      </c>
      <c r="G264" s="99" t="s">
        <v>1039</v>
      </c>
      <c r="J264" t="s">
        <v>25</v>
      </c>
    </row>
    <row r="265" spans="1:11">
      <c r="A265" s="99" t="s">
        <v>4656</v>
      </c>
      <c r="B265" s="113">
        <v>-190000</v>
      </c>
      <c r="C265" s="99">
        <v>1</v>
      </c>
      <c r="D265" s="99">
        <f t="shared" si="8"/>
        <v>5</v>
      </c>
      <c r="E265" s="99">
        <f t="shared" si="9"/>
        <v>0</v>
      </c>
      <c r="F265" s="99">
        <f t="shared" si="10"/>
        <v>-275000</v>
      </c>
      <c r="G265" s="99"/>
    </row>
    <row r="266" spans="1:11">
      <c r="A266" s="99" t="s">
        <v>4655</v>
      </c>
      <c r="B266" s="113">
        <v>-55000</v>
      </c>
      <c r="C266" s="99">
        <v>1</v>
      </c>
      <c r="D266" s="99">
        <f t="shared" si="8"/>
        <v>4</v>
      </c>
      <c r="E266" s="99">
        <f t="shared" si="9"/>
        <v>0</v>
      </c>
      <c r="F266" s="99">
        <f t="shared" si="10"/>
        <v>-117580</v>
      </c>
      <c r="G266" s="99"/>
    </row>
    <row r="267" spans="1:11">
      <c r="A267" s="99" t="s">
        <v>4636</v>
      </c>
      <c r="B267" s="113">
        <v>-29395</v>
      </c>
      <c r="C267" s="99">
        <v>2</v>
      </c>
      <c r="D267" s="99">
        <f t="shared" si="8"/>
        <v>3</v>
      </c>
      <c r="E267" s="99">
        <f t="shared" si="9"/>
        <v>0</v>
      </c>
      <c r="F267" s="99">
        <f t="shared" si="10"/>
        <v>-150000</v>
      </c>
      <c r="G267" s="99"/>
    </row>
    <row r="268" spans="1:11">
      <c r="A268" s="99" t="s">
        <v>4235</v>
      </c>
      <c r="B268" s="113">
        <v>-50000</v>
      </c>
      <c r="C268" s="99">
        <v>1</v>
      </c>
      <c r="D268" s="99">
        <f t="shared" si="8"/>
        <v>1</v>
      </c>
      <c r="E268" s="99">
        <f t="shared" si="9"/>
        <v>0</v>
      </c>
      <c r="F268" s="99">
        <f t="shared" si="10"/>
        <v>0</v>
      </c>
      <c r="G268" s="99"/>
    </row>
    <row r="269" spans="1:11">
      <c r="A269" s="99"/>
      <c r="B269" s="113"/>
      <c r="C269" s="99"/>
      <c r="D269" s="99">
        <f t="shared" si="8"/>
        <v>0</v>
      </c>
      <c r="E269" s="99">
        <f t="shared" si="9"/>
        <v>0</v>
      </c>
      <c r="F269" s="99">
        <f t="shared" si="10"/>
        <v>0</v>
      </c>
      <c r="G269" s="99"/>
    </row>
    <row r="270" spans="1:11">
      <c r="A270" s="99"/>
      <c r="B270" s="113"/>
      <c r="C270" s="99"/>
      <c r="D270" s="99">
        <f t="shared" si="8"/>
        <v>0</v>
      </c>
      <c r="E270" s="99">
        <f t="shared" si="9"/>
        <v>0</v>
      </c>
      <c r="F270" s="99">
        <f t="shared" si="10"/>
        <v>0</v>
      </c>
      <c r="G270" s="99"/>
    </row>
    <row r="271" spans="1:11">
      <c r="A271" s="99"/>
      <c r="B271" s="113"/>
      <c r="C271" s="99"/>
      <c r="D271" s="99">
        <f t="shared" si="8"/>
        <v>0</v>
      </c>
      <c r="E271" s="99">
        <f t="shared" si="9"/>
        <v>0</v>
      </c>
      <c r="F271" s="99">
        <f t="shared" si="10"/>
        <v>0</v>
      </c>
      <c r="G271" s="99"/>
    </row>
    <row r="272" spans="1:11">
      <c r="A272" s="99"/>
      <c r="B272" s="113"/>
      <c r="C272" s="99"/>
      <c r="D272" s="99">
        <f t="shared" si="8"/>
        <v>0</v>
      </c>
      <c r="E272" s="99">
        <f t="shared" si="9"/>
        <v>0</v>
      </c>
      <c r="F272" s="99">
        <f t="shared" si="10"/>
        <v>0</v>
      </c>
      <c r="G272" s="99"/>
    </row>
    <row r="273" spans="1:7">
      <c r="A273" s="99"/>
      <c r="B273" s="113"/>
      <c r="C273" s="99"/>
      <c r="D273" s="99">
        <f t="shared" si="8"/>
        <v>0</v>
      </c>
      <c r="E273" s="99">
        <f t="shared" si="9"/>
        <v>0</v>
      </c>
      <c r="F273" s="99">
        <f t="shared" si="10"/>
        <v>0</v>
      </c>
      <c r="G273" s="99"/>
    </row>
    <row r="274" spans="1:7">
      <c r="A274" s="99"/>
      <c r="B274" s="113"/>
      <c r="C274" s="99"/>
      <c r="D274" s="99">
        <f t="shared" si="8"/>
        <v>0</v>
      </c>
      <c r="E274" s="99">
        <f t="shared" si="9"/>
        <v>0</v>
      </c>
      <c r="F274" s="99">
        <f t="shared" si="10"/>
        <v>0</v>
      </c>
      <c r="G274" s="99"/>
    </row>
    <row r="275" spans="1:7">
      <c r="A275" s="99"/>
      <c r="B275" s="113"/>
      <c r="C275" s="99"/>
      <c r="D275" s="99">
        <f t="shared" si="8"/>
        <v>0</v>
      </c>
      <c r="E275" s="99">
        <f t="shared" si="9"/>
        <v>0</v>
      </c>
      <c r="F275" s="99">
        <f t="shared" si="10"/>
        <v>0</v>
      </c>
      <c r="G275" s="99"/>
    </row>
    <row r="276" spans="1:7">
      <c r="A276" s="99"/>
      <c r="B276" s="113"/>
      <c r="C276" s="99"/>
      <c r="D276" s="99">
        <f t="shared" si="8"/>
        <v>0</v>
      </c>
      <c r="E276" s="99">
        <f t="shared" si="9"/>
        <v>0</v>
      </c>
      <c r="F276" s="99">
        <f t="shared" si="10"/>
        <v>0</v>
      </c>
      <c r="G276" s="99"/>
    </row>
    <row r="277" spans="1:7">
      <c r="A277" s="99"/>
      <c r="B277" s="113"/>
      <c r="C277" s="99"/>
      <c r="D277" s="99">
        <f t="shared" si="8"/>
        <v>0</v>
      </c>
      <c r="E277" s="99">
        <f t="shared" si="9"/>
        <v>0</v>
      </c>
      <c r="F277" s="99">
        <f t="shared" si="10"/>
        <v>0</v>
      </c>
      <c r="G277" s="99"/>
    </row>
    <row r="278" spans="1:7">
      <c r="A278" s="11"/>
      <c r="B278" s="3">
        <v>0</v>
      </c>
      <c r="C278" s="11">
        <v>0</v>
      </c>
      <c r="D278" s="99">
        <f t="shared" si="8"/>
        <v>0</v>
      </c>
      <c r="E278" s="99">
        <f t="shared" si="9"/>
        <v>0</v>
      </c>
      <c r="F278" s="99">
        <f t="shared" si="10"/>
        <v>0</v>
      </c>
      <c r="G278" s="11"/>
    </row>
    <row r="279" spans="1:7">
      <c r="A279" s="11"/>
      <c r="B279" s="3"/>
      <c r="C279" s="11"/>
      <c r="D279" s="99"/>
      <c r="E279" s="99"/>
      <c r="F279" s="99"/>
      <c r="G279" s="11"/>
    </row>
    <row r="280" spans="1:7">
      <c r="A280" s="11"/>
      <c r="B280" s="29">
        <f>SUM(B2:B278)</f>
        <v>2630026</v>
      </c>
      <c r="C280" s="11"/>
      <c r="D280" s="11"/>
      <c r="E280" s="11"/>
      <c r="F280" s="29">
        <f>SUM(F2:F278)</f>
        <v>18881239277</v>
      </c>
      <c r="G280" s="11"/>
    </row>
    <row r="281" spans="1:7">
      <c r="A281" s="11"/>
      <c r="B281" s="11" t="s">
        <v>6</v>
      </c>
      <c r="C281" s="11"/>
      <c r="D281" s="11"/>
      <c r="E281" s="11"/>
      <c r="F281" s="11" t="s">
        <v>284</v>
      </c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3">
        <f>F280/D2</f>
        <v>19729612.619644724</v>
      </c>
      <c r="G283" s="11"/>
    </row>
    <row r="284" spans="1:7">
      <c r="A284" s="11"/>
      <c r="B284" s="11"/>
      <c r="C284" s="11"/>
      <c r="D284" s="11"/>
      <c r="E284" s="11"/>
      <c r="F284" s="11" t="s">
        <v>286</v>
      </c>
      <c r="G284" s="11"/>
    </row>
    <row r="289" spans="2:5">
      <c r="D289" t="s">
        <v>25</v>
      </c>
    </row>
    <row r="290" spans="2:5">
      <c r="B290" s="7"/>
    </row>
    <row r="292" spans="2:5" ht="75">
      <c r="E292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P10" sqref="P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4597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9"/>
  <sheetViews>
    <sheetView topLeftCell="M57" zoomScaleNormal="100" workbookViewId="0">
      <selection activeCell="T85" sqref="T85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 t="shared" ref="E3:E14" si="1"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14" si="2">C3*$K$2</f>
        <v>3030000</v>
      </c>
      <c r="D4" s="3">
        <f t="shared" ref="D4:D14" si="3">D3*$K$2</f>
        <v>2525000</v>
      </c>
      <c r="E4" s="3">
        <f t="shared" si="1"/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2"/>
        <v>3060300</v>
      </c>
      <c r="D5" s="3">
        <f t="shared" si="3"/>
        <v>2550250</v>
      </c>
      <c r="E5" s="3">
        <f t="shared" si="1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2"/>
        <v>3090903</v>
      </c>
      <c r="D6" s="3">
        <f t="shared" si="3"/>
        <v>2575752.5</v>
      </c>
      <c r="E6" s="3">
        <f t="shared" si="1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2"/>
        <v>3121812.03</v>
      </c>
      <c r="D7" s="3">
        <f t="shared" si="3"/>
        <v>2601510.0249999999</v>
      </c>
      <c r="E7" s="3">
        <f t="shared" si="1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2"/>
        <v>3153030.1502999999</v>
      </c>
      <c r="D8" s="3">
        <f t="shared" si="3"/>
        <v>2627525.12525</v>
      </c>
      <c r="E8" s="3">
        <f t="shared" si="1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2"/>
        <v>3184560.4518029997</v>
      </c>
      <c r="D9" s="3">
        <f t="shared" si="3"/>
        <v>2653800.3765024999</v>
      </c>
      <c r="E9" s="3">
        <f t="shared" si="1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2"/>
        <v>3216406.0563210296</v>
      </c>
      <c r="D10" s="3">
        <f t="shared" si="3"/>
        <v>2680338.3802675251</v>
      </c>
      <c r="E10" s="3">
        <f t="shared" si="1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2"/>
        <v>3248570.1168842399</v>
      </c>
      <c r="D11" s="3">
        <f t="shared" si="3"/>
        <v>2707141.7640702003</v>
      </c>
      <c r="E11" s="3">
        <f t="shared" si="1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2"/>
        <v>3281055.8180530826</v>
      </c>
      <c r="D12" s="3">
        <f t="shared" si="3"/>
        <v>2734213.1817109021</v>
      </c>
      <c r="E12" s="3">
        <f t="shared" si="1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2"/>
        <v>3313866.3762336136</v>
      </c>
      <c r="D13" s="3">
        <f t="shared" si="3"/>
        <v>2761555.3135280111</v>
      </c>
      <c r="E13" s="3">
        <f t="shared" si="1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2"/>
        <v>3347005.0399959497</v>
      </c>
      <c r="D14" s="3">
        <f t="shared" si="3"/>
        <v>2789170.8666632911</v>
      </c>
      <c r="E14" s="46">
        <f t="shared" si="1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 t="shared" ref="C16:C62" si="4">C15*$K$2</f>
        <v>3686500</v>
      </c>
      <c r="D16" s="3">
        <f t="shared" ref="D16:D62" si="5">D15*$K$2</f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ایلیا'!B280</f>
        <v>2630026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4"/>
        <v>3723365</v>
      </c>
      <c r="D17" s="3">
        <f t="shared" si="5"/>
        <v>3024596.5</v>
      </c>
      <c r="E17" s="3">
        <f>E16*$L$2+C17-D17</f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سارا!D299</f>
        <v>6730341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4"/>
        <v>3760598.65</v>
      </c>
      <c r="D18" s="3">
        <f t="shared" si="5"/>
        <v>3054842.4649999999</v>
      </c>
      <c r="E18" s="3">
        <f>E17*$L$2+C18-D18</f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4"/>
        <v>3798204.6365</v>
      </c>
      <c r="D19" s="3">
        <f t="shared" si="5"/>
        <v>3085390.8896499998</v>
      </c>
      <c r="E19" s="3">
        <f>E18*$L$2+C19-D19</f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4"/>
        <v>3836186.6828649999</v>
      </c>
      <c r="D20" s="3">
        <f t="shared" si="5"/>
        <v>3116244.7985465</v>
      </c>
      <c r="E20" s="3">
        <f>E19*$L$2+C20-D20</f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4465</v>
      </c>
      <c r="N20" s="113">
        <v>168853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S54</f>
        <v>107</v>
      </c>
      <c r="T20" s="169" t="s">
        <v>4310</v>
      </c>
      <c r="U20" s="169">
        <v>192.1</v>
      </c>
      <c r="V20" s="169">
        <f>U20*(1+$N$81+$Q$15*S20/36500)</f>
        <v>210.01950904109589</v>
      </c>
      <c r="W20" s="32">
        <f t="shared" ref="W20:W32" si="6">V20*(1+$W$19/100)</f>
        <v>214.21989922191781</v>
      </c>
      <c r="X20" s="32">
        <f t="shared" ref="X20:X32" si="7">V20*(1+$X$19/100)</f>
        <v>218.42028940273974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283</v>
      </c>
      <c r="AM20" s="113">
        <f>AJ20*AL20</f>
        <v>5094000000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4"/>
        <v>3874548.5496936501</v>
      </c>
      <c r="D21" s="117">
        <f t="shared" si="5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4478</v>
      </c>
      <c r="L21" s="117">
        <f>-N31</f>
        <v>79331921.782918692</v>
      </c>
      <c r="M21" s="169" t="s">
        <v>4302</v>
      </c>
      <c r="N21" s="113">
        <f>O21*P21</f>
        <v>12503186.1</v>
      </c>
      <c r="O21" s="99">
        <v>72231</v>
      </c>
      <c r="P21" s="188">
        <f>P42</f>
        <v>173.1</v>
      </c>
      <c r="Q21" s="170">
        <v>1450345</v>
      </c>
      <c r="R21" s="169" t="s">
        <v>4306</v>
      </c>
      <c r="S21" s="194">
        <f>S20-36</f>
        <v>71</v>
      </c>
      <c r="T21" s="169" t="s">
        <v>4311</v>
      </c>
      <c r="U21" s="169">
        <v>313.7</v>
      </c>
      <c r="V21" s="169">
        <f>U21*(1+$N$81+$Q$15*S21/36500)</f>
        <v>334.2993468493151</v>
      </c>
      <c r="W21" s="32">
        <f t="shared" si="6"/>
        <v>340.9853337863014</v>
      </c>
      <c r="X21" s="32">
        <f t="shared" si="7"/>
        <v>347.67132072328769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282</v>
      </c>
      <c r="AM21" s="113">
        <f t="shared" ref="AM21:AM123" si="9">AJ21*AL21</f>
        <v>705000000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4"/>
        <v>3913294.0351905865</v>
      </c>
      <c r="D22" s="3">
        <f t="shared" si="5"/>
        <v>3178881.3189972849</v>
      </c>
      <c r="E22" s="3">
        <f t="shared" ref="E22:E62" si="10"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4481</v>
      </c>
      <c r="L22" s="117">
        <f>-'دی 97'!D57</f>
        <v>-3172403</v>
      </c>
      <c r="M22" s="169" t="s">
        <v>4314</v>
      </c>
      <c r="N22" s="113">
        <f>O22*P22</f>
        <v>8414380.7999999989</v>
      </c>
      <c r="O22" s="99">
        <v>28504</v>
      </c>
      <c r="P22" s="188">
        <f>P43</f>
        <v>295.2</v>
      </c>
      <c r="Q22" s="170">
        <v>400069</v>
      </c>
      <c r="R22" s="169" t="s">
        <v>4312</v>
      </c>
      <c r="S22" s="194">
        <f>S21-1</f>
        <v>70</v>
      </c>
      <c r="T22" s="169" t="s">
        <v>4313</v>
      </c>
      <c r="U22" s="169">
        <v>314.8</v>
      </c>
      <c r="V22" s="169">
        <f>U22*(1+$N$81+$Q$15*S22/36500)</f>
        <v>335.23008876712333</v>
      </c>
      <c r="W22" s="32">
        <f t="shared" si="6"/>
        <v>341.93469054246583</v>
      </c>
      <c r="X22" s="32">
        <f t="shared" si="7"/>
        <v>348.63929231780827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281</v>
      </c>
      <c r="AM22" s="113">
        <f t="shared" si="9"/>
        <v>2248000000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4"/>
        <v>3952426.9755424922</v>
      </c>
      <c r="D23" s="3">
        <f t="shared" si="5"/>
        <v>3210670.1321872575</v>
      </c>
      <c r="E23" s="3">
        <f t="shared" si="10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/>
      <c r="L23" s="117"/>
      <c r="M23" s="169" t="s">
        <v>4646</v>
      </c>
      <c r="N23" s="113">
        <f>O23*P23</f>
        <v>65910</v>
      </c>
      <c r="O23" s="99">
        <v>338</v>
      </c>
      <c r="P23" s="188">
        <f>P47</f>
        <v>195</v>
      </c>
      <c r="Q23" s="170">
        <v>7118256</v>
      </c>
      <c r="R23" s="169" t="s">
        <v>4312</v>
      </c>
      <c r="S23" s="194">
        <f>S22</f>
        <v>70</v>
      </c>
      <c r="T23" s="169" t="s">
        <v>4543</v>
      </c>
      <c r="U23" s="169">
        <v>313</v>
      </c>
      <c r="V23" s="169">
        <f>U23*(1+$N$81+$Q$15*S23/36500)</f>
        <v>333.31327123287679</v>
      </c>
      <c r="W23" s="32">
        <f t="shared" si="6"/>
        <v>339.97953665753431</v>
      </c>
      <c r="X23" s="32">
        <f t="shared" si="7"/>
        <v>346.64580208219189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8"/>
        <v>280</v>
      </c>
      <c r="AM23" s="113">
        <f t="shared" si="9"/>
        <v>-22274560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4"/>
        <v>3991951.2452979172</v>
      </c>
      <c r="D24" s="3">
        <f t="shared" si="5"/>
        <v>3242776.8335091299</v>
      </c>
      <c r="E24" s="3">
        <f t="shared" si="10"/>
        <v>280306345.38193864</v>
      </c>
      <c r="F24" s="3">
        <f>L61</f>
        <v>256748447.78291869</v>
      </c>
      <c r="G24" s="95">
        <f t="shared" si="0"/>
        <v>23557897.599019945</v>
      </c>
      <c r="H24" s="11"/>
      <c r="I24" s="96"/>
      <c r="J24" s="96"/>
      <c r="K24" s="169" t="s">
        <v>456</v>
      </c>
      <c r="L24" s="117">
        <v>196000</v>
      </c>
      <c r="M24" s="169" t="s">
        <v>4401</v>
      </c>
      <c r="N24" s="113">
        <f>O24*P24</f>
        <v>3975680.5</v>
      </c>
      <c r="O24" s="99">
        <v>781</v>
      </c>
      <c r="P24" s="99">
        <f>P44</f>
        <v>5090.5</v>
      </c>
      <c r="Q24" s="170">
        <v>595156</v>
      </c>
      <c r="R24" s="169" t="s">
        <v>4399</v>
      </c>
      <c r="S24" s="195">
        <f>S23-16</f>
        <v>54</v>
      </c>
      <c r="T24" s="169" t="s">
        <v>4402</v>
      </c>
      <c r="U24" s="169">
        <v>5808.5</v>
      </c>
      <c r="V24" s="169">
        <f>U24*(1+$N$81+$Q$15*S24/36500)</f>
        <v>6114.1703232876716</v>
      </c>
      <c r="W24" s="32">
        <f t="shared" si="6"/>
        <v>6236.4537297534253</v>
      </c>
      <c r="X24" s="32">
        <f t="shared" si="7"/>
        <v>6358.7371362191789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279</v>
      </c>
      <c r="AM24" s="113">
        <f t="shared" si="9"/>
        <v>46174500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4"/>
        <v>4031870.7577508963</v>
      </c>
      <c r="D25" s="3">
        <f t="shared" si="5"/>
        <v>3275204.6018442214</v>
      </c>
      <c r="E25" s="3">
        <f t="shared" si="10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4437</v>
      </c>
      <c r="S25" s="169">
        <f>S24-7</f>
        <v>47</v>
      </c>
      <c r="T25" s="19" t="s">
        <v>4440</v>
      </c>
      <c r="U25" s="169">
        <v>5474</v>
      </c>
      <c r="V25" s="169">
        <f>U25*(1+$N$81+$Q$15*S25/36500)</f>
        <v>5732.6727452054802</v>
      </c>
      <c r="W25" s="32">
        <f t="shared" si="6"/>
        <v>5847.32620010959</v>
      </c>
      <c r="X25" s="32">
        <f t="shared" si="7"/>
        <v>5961.9796550136998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8"/>
        <v>267</v>
      </c>
      <c r="AM25" s="113">
        <f t="shared" si="9"/>
        <v>-7697697309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4"/>
        <v>4072189.4653284051</v>
      </c>
      <c r="D26" s="3">
        <f t="shared" si="5"/>
        <v>3307956.6478626635</v>
      </c>
      <c r="E26" s="46">
        <f t="shared" si="10"/>
        <v>293166754.03185946</v>
      </c>
      <c r="F26" s="3"/>
      <c r="G26" s="11"/>
      <c r="H26" s="11"/>
      <c r="J26" s="25"/>
      <c r="K26" s="169"/>
      <c r="L26" s="117"/>
      <c r="M26" s="192" t="s">
        <v>4467</v>
      </c>
      <c r="N26" s="113">
        <v>168853</v>
      </c>
      <c r="O26" s="69"/>
      <c r="P26" s="99"/>
      <c r="Q26" s="170">
        <v>2197673</v>
      </c>
      <c r="R26" s="169" t="s">
        <v>4437</v>
      </c>
      <c r="S26" s="169">
        <f>S25</f>
        <v>47</v>
      </c>
      <c r="T26" s="19" t="s">
        <v>4441</v>
      </c>
      <c r="U26" s="169">
        <v>5349</v>
      </c>
      <c r="V26" s="169">
        <f>U26*(1+$N$81+$Q$15*S26/36500)</f>
        <v>5601.7658958904121</v>
      </c>
      <c r="W26" s="32">
        <f t="shared" si="6"/>
        <v>5713.8012138082204</v>
      </c>
      <c r="X26" s="32">
        <f t="shared" si="7"/>
        <v>5825.8365317260286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8"/>
        <v>261</v>
      </c>
      <c r="AM26" s="113">
        <f t="shared" si="9"/>
        <v>4828500000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4"/>
        <v>4112911.3599816891</v>
      </c>
      <c r="D27" s="3">
        <f t="shared" si="5"/>
        <v>3341036.2143412903</v>
      </c>
      <c r="E27" s="3">
        <f t="shared" si="10"/>
        <v>299801964.25813711</v>
      </c>
      <c r="F27" s="3"/>
      <c r="G27" s="11"/>
      <c r="H27" s="11"/>
      <c r="J27" s="25"/>
      <c r="K27" s="169"/>
      <c r="L27" s="117"/>
      <c r="M27" s="192" t="s">
        <v>4646</v>
      </c>
      <c r="N27" s="113">
        <f>O27*P27</f>
        <v>65910</v>
      </c>
      <c r="O27" s="69">
        <v>338</v>
      </c>
      <c r="P27" s="99">
        <f>P47</f>
        <v>195</v>
      </c>
      <c r="Q27" s="170">
        <v>1353959</v>
      </c>
      <c r="R27" s="169" t="s">
        <v>4437</v>
      </c>
      <c r="S27" s="202">
        <f>S26</f>
        <v>47</v>
      </c>
      <c r="T27" s="19" t="s">
        <v>4483</v>
      </c>
      <c r="U27" s="169">
        <v>192.2</v>
      </c>
      <c r="V27" s="169">
        <f>U27*(1+$N$81+$Q$15*S27/36500)</f>
        <v>201.28237150684933</v>
      </c>
      <c r="W27" s="32">
        <f t="shared" si="6"/>
        <v>205.30801893698631</v>
      </c>
      <c r="X27" s="32">
        <f t="shared" si="7"/>
        <v>209.3336663671233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8"/>
        <v>260</v>
      </c>
      <c r="AM27" s="113">
        <f t="shared" si="9"/>
        <v>-4823000000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4"/>
        <v>4154040.4735815059</v>
      </c>
      <c r="D28" s="3">
        <f t="shared" si="5"/>
        <v>3374446.5764847035</v>
      </c>
      <c r="E28" s="3">
        <f t="shared" si="10"/>
        <v>306577597.44039667</v>
      </c>
      <c r="F28" s="3"/>
      <c r="G28" s="11"/>
      <c r="H28" s="11"/>
      <c r="K28" s="169"/>
      <c r="L28" s="117"/>
      <c r="M28" s="192" t="s">
        <v>4446</v>
      </c>
      <c r="N28" s="113">
        <f>O28*P28</f>
        <v>2831742.9</v>
      </c>
      <c r="O28" s="69">
        <v>16359</v>
      </c>
      <c r="P28" s="99">
        <f>P42</f>
        <v>173.1</v>
      </c>
      <c r="Q28" s="170">
        <v>1614398</v>
      </c>
      <c r="R28" s="169" t="s">
        <v>4445</v>
      </c>
      <c r="S28" s="169">
        <f>S27-3</f>
        <v>44</v>
      </c>
      <c r="T28" s="19" t="s">
        <v>4521</v>
      </c>
      <c r="U28" s="169">
        <v>184.6</v>
      </c>
      <c r="V28" s="169">
        <f>U28*(1+$N$81+$Q$15*S28/36500)</f>
        <v>192.89840219178083</v>
      </c>
      <c r="W28" s="32">
        <f t="shared" si="6"/>
        <v>196.75637023561646</v>
      </c>
      <c r="X28" s="32">
        <f t="shared" si="7"/>
        <v>200.61433827945208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8"/>
        <v>259</v>
      </c>
      <c r="AM28" s="113">
        <f t="shared" si="9"/>
        <v>-16824899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4"/>
        <v>4195580.8783173207</v>
      </c>
      <c r="D29" s="3">
        <f t="shared" si="5"/>
        <v>3408191.0422495506</v>
      </c>
      <c r="E29" s="3">
        <f t="shared" si="10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133576</v>
      </c>
      <c r="R29" s="169" t="s">
        <v>4528</v>
      </c>
      <c r="S29" s="201">
        <f>S28-22</f>
        <v>22</v>
      </c>
      <c r="T29" s="169" t="s">
        <v>4529</v>
      </c>
      <c r="U29" s="169">
        <v>166.2</v>
      </c>
      <c r="V29" s="169">
        <f>U29*(1+$N$81+$Q$15*S29/36500)</f>
        <v>170.86634958904111</v>
      </c>
      <c r="W29" s="32">
        <f t="shared" si="6"/>
        <v>174.28367658082192</v>
      </c>
      <c r="X29" s="32">
        <f t="shared" si="7"/>
        <v>177.70100357260276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8"/>
        <v>254</v>
      </c>
      <c r="AM29" s="113">
        <f t="shared" si="9"/>
        <v>1625600000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4"/>
        <v>4237536.6871004943</v>
      </c>
      <c r="D30" s="3">
        <f t="shared" si="5"/>
        <v>3442272.9526720461</v>
      </c>
      <c r="E30" s="3">
        <f t="shared" si="10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220803</v>
      </c>
      <c r="R30" s="169" t="s">
        <v>4232</v>
      </c>
      <c r="S30" s="201">
        <f>S29-1</f>
        <v>21</v>
      </c>
      <c r="T30" s="169" t="s">
        <v>4535</v>
      </c>
      <c r="U30" s="169">
        <v>166</v>
      </c>
      <c r="V30" s="169">
        <f>U30*(1+$N$81+$Q$15*S30/36500)</f>
        <v>170.53339178082192</v>
      </c>
      <c r="W30" s="32">
        <f t="shared" si="6"/>
        <v>173.94405961643835</v>
      </c>
      <c r="X30" s="32">
        <f t="shared" si="7"/>
        <v>177.35472745205479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8"/>
        <v>253</v>
      </c>
      <c r="AM30" s="113">
        <f t="shared" si="9"/>
        <v>-43010000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4"/>
        <v>4279912.0539714992</v>
      </c>
      <c r="D31" s="3">
        <f t="shared" si="5"/>
        <v>3476695.6821987666</v>
      </c>
      <c r="E31" s="3">
        <f t="shared" si="10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4150</v>
      </c>
      <c r="N31" s="113">
        <f>-S92</f>
        <v>-79331921.782918692</v>
      </c>
      <c r="O31" s="96" t="s">
        <v>25</v>
      </c>
      <c r="P31" s="96" t="s">
        <v>25</v>
      </c>
      <c r="Q31" s="170">
        <v>1023940</v>
      </c>
      <c r="R31" s="169" t="s">
        <v>4536</v>
      </c>
      <c r="S31" s="201">
        <f>S30-2</f>
        <v>19</v>
      </c>
      <c r="T31" s="169" t="s">
        <v>4544</v>
      </c>
      <c r="U31" s="169">
        <v>160.19999999999999</v>
      </c>
      <c r="V31" s="169">
        <f>U31*(1+$N$81+$Q$15*S31/36500)</f>
        <v>164.32920986301369</v>
      </c>
      <c r="W31" s="32">
        <f t="shared" si="6"/>
        <v>167.61579406027397</v>
      </c>
      <c r="X31" s="32">
        <f t="shared" si="7"/>
        <v>170.90237825753425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248</v>
      </c>
      <c r="AM31" s="113">
        <f t="shared" si="9"/>
        <v>-1562400000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4"/>
        <v>4322711.1745112138</v>
      </c>
      <c r="D32" s="3">
        <f t="shared" si="5"/>
        <v>3511462.6390207545</v>
      </c>
      <c r="E32" s="3">
        <f t="shared" si="10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66208</v>
      </c>
      <c r="R32" s="169" t="s">
        <v>4643</v>
      </c>
      <c r="S32" s="201">
        <f>S31-25</f>
        <v>-6</v>
      </c>
      <c r="T32" s="169" t="s">
        <v>4649</v>
      </c>
      <c r="U32" s="169">
        <v>195</v>
      </c>
      <c r="V32" s="169">
        <f>U32*(1+$N$81+$Q$15*S32/36500)</f>
        <v>196.28646575342469</v>
      </c>
      <c r="W32" s="32">
        <f t="shared" si="6"/>
        <v>200.2121950684932</v>
      </c>
      <c r="X32" s="32">
        <f t="shared" si="7"/>
        <v>204.13792438356168</v>
      </c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8"/>
        <v>247</v>
      </c>
      <c r="AM32" s="113">
        <f t="shared" si="9"/>
        <v>-12847705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4"/>
        <v>4365938.2862563264</v>
      </c>
      <c r="D33" s="3">
        <f t="shared" si="5"/>
        <v>3546577.265410962</v>
      </c>
      <c r="E33" s="3">
        <f t="shared" si="10"/>
        <v>342665177.18345958</v>
      </c>
      <c r="F33" s="3"/>
      <c r="G33" s="11"/>
      <c r="H33" s="11"/>
      <c r="J33" s="25"/>
      <c r="K33" s="169" t="s">
        <v>1086</v>
      </c>
      <c r="L33" s="117">
        <f>61*P15</f>
        <v>219600000</v>
      </c>
      <c r="M33" s="169" t="s">
        <v>760</v>
      </c>
      <c r="N33" s="113">
        <v>1200000</v>
      </c>
      <c r="O33" t="s">
        <v>25</v>
      </c>
      <c r="P33" t="s">
        <v>25</v>
      </c>
      <c r="Q33" s="170"/>
      <c r="R33" s="169"/>
      <c r="S33" s="169"/>
      <c r="T33" s="169"/>
      <c r="U33" s="169"/>
      <c r="V33" s="169" t="s">
        <v>25</v>
      </c>
      <c r="W33" s="32"/>
      <c r="X33" s="32"/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8"/>
        <v>231</v>
      </c>
      <c r="AM33" s="113">
        <f t="shared" si="9"/>
        <v>4624019400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4"/>
        <v>4409597.6691188896</v>
      </c>
      <c r="D34" s="3">
        <f t="shared" si="5"/>
        <v>3582043.0380650717</v>
      </c>
      <c r="E34" s="3">
        <f t="shared" si="10"/>
        <v>350346035.35818261</v>
      </c>
      <c r="F34" s="3"/>
      <c r="G34" s="11"/>
      <c r="H34" s="11"/>
      <c r="K34" s="169" t="s">
        <v>4573</v>
      </c>
      <c r="L34" s="117">
        <v>-50000000</v>
      </c>
      <c r="M34" s="73"/>
      <c r="N34" s="113"/>
      <c r="O34" s="96"/>
      <c r="P34" s="96"/>
      <c r="Q34" s="170">
        <f>SUM(N21:N24)-SUM(Q20:Q33)</f>
        <v>-1968901.6000000015</v>
      </c>
      <c r="R34" s="169"/>
      <c r="S34" s="169" t="s">
        <v>25</v>
      </c>
      <c r="T34" s="169"/>
      <c r="U34" s="169"/>
      <c r="V34" s="169"/>
      <c r="W34" s="32"/>
      <c r="X34" s="32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8"/>
        <v>231</v>
      </c>
      <c r="AM34" s="113">
        <f t="shared" si="9"/>
        <v>234341646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4"/>
        <v>4453693.6458100788</v>
      </c>
      <c r="D35" s="3">
        <f t="shared" si="5"/>
        <v>3617863.4684457225</v>
      </c>
      <c r="E35" s="3">
        <f t="shared" si="10"/>
        <v>358188786.24271059</v>
      </c>
      <c r="F35" s="3"/>
      <c r="G35" s="11"/>
      <c r="H35" s="11"/>
      <c r="K35" s="169" t="s">
        <v>4325</v>
      </c>
      <c r="L35" s="117">
        <v>-2000000</v>
      </c>
      <c r="M35" s="169" t="s">
        <v>1086</v>
      </c>
      <c r="N35" s="113">
        <f>60*P15</f>
        <v>216000000</v>
      </c>
      <c r="O35" s="96"/>
      <c r="P35" s="96"/>
      <c r="R35" s="115"/>
      <c r="S35" s="115" t="s">
        <v>25</v>
      </c>
      <c r="T35" s="115"/>
      <c r="U35" s="115"/>
      <c r="V35" s="115"/>
      <c r="W35" s="198"/>
      <c r="X35" s="198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8"/>
        <v>219</v>
      </c>
      <c r="AM35" s="113">
        <f t="shared" si="9"/>
        <v>78840000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si="4"/>
        <v>4498230.5822681794</v>
      </c>
      <c r="D36" s="3">
        <f t="shared" si="5"/>
        <v>3654042.1031301799</v>
      </c>
      <c r="E36" s="3">
        <f t="shared" si="10"/>
        <v>366196750.44670284</v>
      </c>
      <c r="F36" s="3"/>
      <c r="G36" s="11"/>
      <c r="H36" s="11"/>
      <c r="K36" s="169" t="s">
        <v>4517</v>
      </c>
      <c r="L36" s="117">
        <v>-1000000</v>
      </c>
      <c r="M36" s="169" t="s">
        <v>4575</v>
      </c>
      <c r="N36" s="113">
        <v>-20000000</v>
      </c>
      <c r="O36" s="96"/>
      <c r="P36" s="114"/>
      <c r="Q36" s="96"/>
      <c r="R36" s="115"/>
      <c r="S36" s="115"/>
      <c r="T36" s="115" t="s">
        <v>25</v>
      </c>
      <c r="U36" s="115"/>
      <c r="V36" s="115"/>
      <c r="W36" s="198"/>
      <c r="X36" s="198"/>
      <c r="Y36" s="96"/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8"/>
        <v>217</v>
      </c>
      <c r="AM36" s="113">
        <f t="shared" si="9"/>
        <v>-75950000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4"/>
        <v>4543212.888090861</v>
      </c>
      <c r="D37" s="3">
        <f t="shared" si="5"/>
        <v>3690582.5241614818</v>
      </c>
      <c r="E37" s="3">
        <f t="shared" si="10"/>
        <v>374373315.81956631</v>
      </c>
      <c r="F37" s="3"/>
      <c r="G37" s="11"/>
      <c r="H37" s="11"/>
      <c r="K37" s="169"/>
      <c r="L37" s="117"/>
      <c r="M37" s="169" t="s">
        <v>4576</v>
      </c>
      <c r="N37" s="113">
        <v>-50000000</v>
      </c>
      <c r="O37" s="96"/>
      <c r="P37" s="96"/>
      <c r="Q37" s="169" t="s">
        <v>657</v>
      </c>
      <c r="R37" s="169"/>
      <c r="S37" s="169"/>
      <c r="T37" s="169"/>
      <c r="U37" s="169"/>
      <c r="V37" s="169"/>
      <c r="W37" s="32"/>
      <c r="X37" s="32"/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8"/>
        <v>217</v>
      </c>
      <c r="AM37" s="113">
        <f t="shared" si="9"/>
        <v>217000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 ht="30">
      <c r="A38" s="61">
        <v>98</v>
      </c>
      <c r="B38" s="11">
        <v>36</v>
      </c>
      <c r="C38" s="3">
        <f t="shared" si="4"/>
        <v>4588645.0169717697</v>
      </c>
      <c r="D38" s="3">
        <f t="shared" si="5"/>
        <v>3727488.3494030968</v>
      </c>
      <c r="E38" s="46">
        <f t="shared" si="10"/>
        <v>382721938.80352634</v>
      </c>
      <c r="F38" s="3"/>
      <c r="G38" s="11"/>
      <c r="H38" s="11"/>
      <c r="K38" s="99" t="s">
        <v>4420</v>
      </c>
      <c r="L38" s="117">
        <v>3000000</v>
      </c>
      <c r="M38" s="169"/>
      <c r="N38" s="113"/>
      <c r="O38" s="96"/>
      <c r="P38" s="96"/>
      <c r="Q38" s="169" t="s">
        <v>267</v>
      </c>
      <c r="R38" s="169" t="s">
        <v>180</v>
      </c>
      <c r="S38" s="169" t="s">
        <v>183</v>
      </c>
      <c r="T38" s="169" t="s">
        <v>8</v>
      </c>
      <c r="U38" s="169" t="s">
        <v>4369</v>
      </c>
      <c r="V38" s="73" t="s">
        <v>4371</v>
      </c>
      <c r="W38" s="32">
        <v>2</v>
      </c>
      <c r="X38" s="32">
        <v>4</v>
      </c>
      <c r="Y38" s="96" t="s">
        <v>25</v>
      </c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8"/>
        <v>216</v>
      </c>
      <c r="AM38" s="113">
        <f t="shared" si="9"/>
        <v>7259760000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4"/>
        <v>4634531.4671414876</v>
      </c>
      <c r="D39" s="3">
        <f t="shared" si="5"/>
        <v>3764763.232897128</v>
      </c>
      <c r="E39" s="3">
        <f t="shared" si="10"/>
        <v>391246145.81384128</v>
      </c>
      <c r="F39" s="3"/>
      <c r="G39" s="11"/>
      <c r="H39" s="11"/>
      <c r="K39" s="99" t="s">
        <v>4638</v>
      </c>
      <c r="L39" s="117">
        <v>2000000</v>
      </c>
      <c r="M39" s="169" t="s">
        <v>4466</v>
      </c>
      <c r="N39" s="113">
        <v>11725507</v>
      </c>
      <c r="Q39" s="169">
        <v>0</v>
      </c>
      <c r="R39" s="169" t="s">
        <v>4173</v>
      </c>
      <c r="S39" s="169">
        <f>S54</f>
        <v>107</v>
      </c>
      <c r="T39" s="169"/>
      <c r="U39" s="169"/>
      <c r="V39" s="73"/>
      <c r="W39" s="32"/>
      <c r="X39" s="32"/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8"/>
        <v>212</v>
      </c>
      <c r="AM39" s="113">
        <f t="shared" si="9"/>
        <v>-3307200000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4"/>
        <v>4680876.7818129025</v>
      </c>
      <c r="D40" s="3">
        <f t="shared" si="5"/>
        <v>3802410.8652260993</v>
      </c>
      <c r="E40" s="3">
        <f t="shared" si="10"/>
        <v>399949534.64670491</v>
      </c>
      <c r="F40" s="3"/>
      <c r="G40" s="11"/>
      <c r="H40" s="11"/>
      <c r="K40" s="56" t="s">
        <v>4644</v>
      </c>
      <c r="L40" s="117">
        <v>240000</v>
      </c>
      <c r="M40" s="169"/>
      <c r="N40" s="113"/>
      <c r="O40" s="99"/>
      <c r="P40" s="99"/>
      <c r="Q40" s="170">
        <v>863944</v>
      </c>
      <c r="R40" s="169" t="s">
        <v>4445</v>
      </c>
      <c r="S40" s="169">
        <f>S39-62</f>
        <v>45</v>
      </c>
      <c r="T40" s="193" t="s">
        <v>4522</v>
      </c>
      <c r="U40" s="169">
        <v>184.6</v>
      </c>
      <c r="V40" s="169">
        <f>U40*(1+$N$81+$Q$15*S40/36500)</f>
        <v>193.04001315068496</v>
      </c>
      <c r="W40" s="32">
        <f t="shared" ref="W40:W45" si="11">V40*(1+$W$19/100)</f>
        <v>196.90081341369867</v>
      </c>
      <c r="X40" s="32">
        <f t="shared" ref="X40:X45" si="12">V40*(1+$X$19/100)</f>
        <v>200.76161367671236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8"/>
        <v>209</v>
      </c>
      <c r="AM40" s="113">
        <f t="shared" si="9"/>
        <v>1567500000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4"/>
        <v>4727685.5496310312</v>
      </c>
      <c r="D41" s="3">
        <f t="shared" si="5"/>
        <v>3840434.9738783604</v>
      </c>
      <c r="E41" s="3">
        <f t="shared" si="10"/>
        <v>408835775.91539168</v>
      </c>
      <c r="F41" s="3"/>
      <c r="G41" s="11"/>
      <c r="H41" s="11"/>
      <c r="K41" s="56"/>
      <c r="L41" s="117"/>
      <c r="M41" s="216" t="s">
        <v>4397</v>
      </c>
      <c r="N41" s="113">
        <f t="shared" ref="N41:N50" si="13">O41*P41</f>
        <v>2074100.5999999999</v>
      </c>
      <c r="O41" s="99">
        <v>611</v>
      </c>
      <c r="P41" s="99">
        <v>3394.6</v>
      </c>
      <c r="Q41" s="170">
        <v>1692313</v>
      </c>
      <c r="R41" s="169" t="s">
        <v>4525</v>
      </c>
      <c r="S41" s="201">
        <f>S40-21</f>
        <v>24</v>
      </c>
      <c r="T41" s="192" t="s">
        <v>4526</v>
      </c>
      <c r="U41" s="169">
        <v>168.5</v>
      </c>
      <c r="V41" s="169">
        <f>U41*(1+$N$81+$Q$15*S41/36500)</f>
        <v>173.48944657534247</v>
      </c>
      <c r="W41" s="32">
        <f t="shared" si="11"/>
        <v>176.95923550684932</v>
      </c>
      <c r="X41" s="32">
        <f t="shared" si="12"/>
        <v>180.42902443835618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8"/>
        <v>205</v>
      </c>
      <c r="AM41" s="113">
        <f t="shared" si="9"/>
        <v>-20090000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4"/>
        <v>4774962.4051273419</v>
      </c>
      <c r="D42" s="3">
        <f t="shared" si="5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9" t="s">
        <v>4180</v>
      </c>
      <c r="N42" s="113">
        <f t="shared" si="13"/>
        <v>193699073.09999999</v>
      </c>
      <c r="O42" s="99">
        <v>1119001</v>
      </c>
      <c r="P42" s="99">
        <v>173.1</v>
      </c>
      <c r="Q42" s="170">
        <v>101153</v>
      </c>
      <c r="R42" s="169" t="s">
        <v>4528</v>
      </c>
      <c r="S42" s="201">
        <f>S41-1</f>
        <v>23</v>
      </c>
      <c r="T42" s="192" t="s">
        <v>4530</v>
      </c>
      <c r="U42" s="169">
        <v>166.7</v>
      </c>
      <c r="V42" s="169">
        <f>U42*(1+$N$81+$Q$15*S42/36500)</f>
        <v>171.50826739726028</v>
      </c>
      <c r="W42" s="32">
        <f t="shared" si="11"/>
        <v>174.93843274520549</v>
      </c>
      <c r="X42" s="32">
        <f t="shared" si="12"/>
        <v>178.36859809315069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8"/>
        <v>204</v>
      </c>
      <c r="AM42" s="113">
        <f t="shared" si="9"/>
        <v>-5304000000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4"/>
        <v>4822712.0291786157</v>
      </c>
      <c r="D43" s="3">
        <f t="shared" si="5"/>
        <v>3917627.7168533155</v>
      </c>
      <c r="E43" s="3">
        <f t="shared" si="10"/>
        <v>427171871.11783922</v>
      </c>
      <c r="F43" s="3"/>
      <c r="G43" s="11"/>
      <c r="H43" s="11"/>
      <c r="K43" s="99"/>
      <c r="L43" s="117"/>
      <c r="M43" s="19" t="s">
        <v>4297</v>
      </c>
      <c r="N43" s="113">
        <f t="shared" si="13"/>
        <v>340365.6</v>
      </c>
      <c r="O43" s="69">
        <v>1153</v>
      </c>
      <c r="P43" s="69">
        <v>295.2</v>
      </c>
      <c r="Q43" s="170">
        <v>183105</v>
      </c>
      <c r="R43" s="169" t="s">
        <v>4232</v>
      </c>
      <c r="S43" s="201">
        <f>S42-1</f>
        <v>22</v>
      </c>
      <c r="T43" s="192" t="s">
        <v>4534</v>
      </c>
      <c r="U43" s="169">
        <v>166.6</v>
      </c>
      <c r="V43" s="169">
        <f>U43*(1+$N$81+$Q$15*S43/36500)</f>
        <v>171.27758027397263</v>
      </c>
      <c r="W43" s="32">
        <f t="shared" si="11"/>
        <v>174.70313187945209</v>
      </c>
      <c r="X43" s="32">
        <f t="shared" si="12"/>
        <v>178.12868348493154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8"/>
        <v>204</v>
      </c>
      <c r="AM43" s="113">
        <f t="shared" si="9"/>
        <v>5100000000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4"/>
        <v>4870939.1494704019</v>
      </c>
      <c r="D44" s="3">
        <f t="shared" si="5"/>
        <v>3956803.9940218488</v>
      </c>
      <c r="E44" s="3">
        <f t="shared" si="10"/>
        <v>436629443.69564456</v>
      </c>
      <c r="F44" s="3"/>
      <c r="G44" s="11"/>
      <c r="H44" s="11"/>
      <c r="K44" s="99"/>
      <c r="L44" s="117"/>
      <c r="M44" s="19" t="s">
        <v>4401</v>
      </c>
      <c r="N44" s="113">
        <f t="shared" si="13"/>
        <v>2835408.5</v>
      </c>
      <c r="O44" s="69">
        <v>557</v>
      </c>
      <c r="P44" s="69">
        <v>5090.5</v>
      </c>
      <c r="Q44" s="170">
        <v>66208</v>
      </c>
      <c r="R44" s="169" t="s">
        <v>4643</v>
      </c>
      <c r="S44" s="201">
        <f>S43-27</f>
        <v>-5</v>
      </c>
      <c r="T44" s="192" t="s">
        <v>4649</v>
      </c>
      <c r="U44" s="169">
        <v>195</v>
      </c>
      <c r="V44" s="169">
        <f>U44*(1+$N$81+$Q$15*S44/36500)</f>
        <v>196.43605479452057</v>
      </c>
      <c r="W44" s="32">
        <f t="shared" si="11"/>
        <v>200.36477589041098</v>
      </c>
      <c r="X44" s="32">
        <f t="shared" si="12"/>
        <v>204.29349698630139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8"/>
        <v>203</v>
      </c>
      <c r="AM44" s="113">
        <f t="shared" si="9"/>
        <v>22330000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4"/>
        <v>4919648.5409651063</v>
      </c>
      <c r="D45" s="3">
        <f t="shared" si="5"/>
        <v>3996372.0339620672</v>
      </c>
      <c r="E45" s="3">
        <f t="shared" si="10"/>
        <v>446285309.07656044</v>
      </c>
      <c r="F45" s="3"/>
      <c r="G45" s="11"/>
      <c r="H45" s="11"/>
      <c r="K45" s="99"/>
      <c r="L45" s="117"/>
      <c r="M45" s="19" t="s">
        <v>4416</v>
      </c>
      <c r="N45" s="117">
        <f t="shared" si="13"/>
        <v>530</v>
      </c>
      <c r="O45" s="69">
        <v>1</v>
      </c>
      <c r="P45" s="69">
        <v>530</v>
      </c>
      <c r="Q45" s="170"/>
      <c r="R45" s="169"/>
      <c r="S45" s="113"/>
      <c r="T45" s="113"/>
      <c r="U45" s="169"/>
      <c r="V45" s="169">
        <f>U45*(1+$N$81+$Q$15*S45/36500)</f>
        <v>0</v>
      </c>
      <c r="W45" s="32">
        <f t="shared" si="11"/>
        <v>0</v>
      </c>
      <c r="X45" s="32">
        <f t="shared" si="12"/>
        <v>0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8"/>
        <v>202</v>
      </c>
      <c r="AM45" s="113">
        <f t="shared" si="9"/>
        <v>76760000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4"/>
        <v>4968845.0263747573</v>
      </c>
      <c r="D46" s="3">
        <f t="shared" si="5"/>
        <v>4036335.7543016877</v>
      </c>
      <c r="E46" s="3">
        <f t="shared" si="10"/>
        <v>456143524.53016472</v>
      </c>
      <c r="F46" s="3"/>
      <c r="G46" s="11"/>
      <c r="H46" s="11"/>
      <c r="K46" s="99"/>
      <c r="L46" s="117"/>
      <c r="M46" s="21" t="s">
        <v>4585</v>
      </c>
      <c r="N46" s="117">
        <f t="shared" si="13"/>
        <v>99445.6</v>
      </c>
      <c r="O46" s="69">
        <v>197</v>
      </c>
      <c r="P46" s="69">
        <v>504.8</v>
      </c>
      <c r="Q46" s="113">
        <f>SUM(N28:N28)-SUM(Q39:Q45)</f>
        <v>-74980.100000000093</v>
      </c>
      <c r="R46" s="169"/>
      <c r="S46" s="169"/>
      <c r="T46" s="169"/>
      <c r="U46" s="169"/>
      <c r="V46" s="169"/>
      <c r="W46" s="32"/>
      <c r="X46" s="32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8"/>
        <v>195</v>
      </c>
      <c r="AM46" s="113">
        <f t="shared" si="9"/>
        <v>87750000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4"/>
        <v>5018533.4766385052</v>
      </c>
      <c r="D47" s="3">
        <f t="shared" si="5"/>
        <v>4076699.1118447045</v>
      </c>
      <c r="E47" s="3">
        <f t="shared" si="10"/>
        <v>466208229.38556182</v>
      </c>
      <c r="F47" s="3"/>
      <c r="G47" s="11"/>
      <c r="H47" s="11"/>
      <c r="K47" s="99"/>
      <c r="L47" s="117"/>
      <c r="M47" s="21" t="s">
        <v>4646</v>
      </c>
      <c r="N47" s="117">
        <f t="shared" si="13"/>
        <v>66105</v>
      </c>
      <c r="O47" s="69">
        <v>339</v>
      </c>
      <c r="P47" s="69">
        <v>195</v>
      </c>
      <c r="R47" s="115"/>
      <c r="S47" s="115"/>
      <c r="T47" s="115" t="s">
        <v>25</v>
      </c>
      <c r="U47" s="115"/>
      <c r="V47" s="115"/>
      <c r="W47" s="198"/>
      <c r="X47" s="198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8"/>
        <v>189</v>
      </c>
      <c r="AM47" s="113">
        <f t="shared" si="9"/>
        <v>529200000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4"/>
        <v>5068718.8114048904</v>
      </c>
      <c r="D48" s="65">
        <f t="shared" si="5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21" t="s">
        <v>4613</v>
      </c>
      <c r="N48" s="117">
        <f t="shared" si="13"/>
        <v>452959.5</v>
      </c>
      <c r="O48" s="69">
        <v>1205</v>
      </c>
      <c r="P48" s="69">
        <v>375.9</v>
      </c>
      <c r="Q48" t="s">
        <v>25</v>
      </c>
      <c r="S48" s="26" t="s">
        <v>25</v>
      </c>
      <c r="T48" t="s">
        <v>25</v>
      </c>
      <c r="U48" s="96" t="s">
        <v>25</v>
      </c>
      <c r="V48" s="115" t="s">
        <v>25</v>
      </c>
      <c r="W48" s="198"/>
      <c r="X48" s="198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8"/>
        <v>188</v>
      </c>
      <c r="AM48" s="113">
        <f t="shared" si="9"/>
        <v>-282000000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4"/>
        <v>5119405.9995189393</v>
      </c>
      <c r="D49" s="3">
        <f t="shared" si="5"/>
        <v>4158640.7639927831</v>
      </c>
      <c r="E49" s="3">
        <f t="shared" si="10"/>
        <v>486974084.8508752</v>
      </c>
      <c r="F49" s="3"/>
      <c r="G49" s="11"/>
      <c r="H49" s="11"/>
      <c r="K49" s="99" t="s">
        <v>25</v>
      </c>
      <c r="L49" s="117"/>
      <c r="M49" s="21" t="s">
        <v>4653</v>
      </c>
      <c r="N49" s="117">
        <f t="shared" si="13"/>
        <v>2653707</v>
      </c>
      <c r="O49" s="69">
        <v>3543</v>
      </c>
      <c r="P49" s="69">
        <v>749</v>
      </c>
      <c r="Q49" t="s">
        <v>25</v>
      </c>
      <c r="T49" t="s">
        <v>25</v>
      </c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188</v>
      </c>
      <c r="AM49" s="113">
        <f t="shared" si="9"/>
        <v>573400000</v>
      </c>
      <c r="AN49" s="99"/>
    </row>
    <row r="50" spans="1:40">
      <c r="A50" s="62">
        <v>99</v>
      </c>
      <c r="B50" s="11">
        <v>48</v>
      </c>
      <c r="C50" s="51">
        <f t="shared" si="4"/>
        <v>5170600.0595141286</v>
      </c>
      <c r="D50" s="51">
        <f t="shared" si="5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21" t="s">
        <v>1086</v>
      </c>
      <c r="N50" s="117">
        <f t="shared" si="13"/>
        <v>15928000</v>
      </c>
      <c r="O50" s="69">
        <v>40</v>
      </c>
      <c r="P50" s="69">
        <v>398200</v>
      </c>
      <c r="T50" t="s">
        <v>25</v>
      </c>
      <c r="U50" s="96" t="s">
        <v>25</v>
      </c>
      <c r="W50" s="198"/>
      <c r="X50" s="198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8"/>
        <v>185</v>
      </c>
      <c r="AM50" s="113">
        <f t="shared" si="9"/>
        <v>-1535428220</v>
      </c>
      <c r="AN50" s="99"/>
    </row>
    <row r="51" spans="1:40">
      <c r="A51" s="63">
        <v>1400</v>
      </c>
      <c r="B51" s="11">
        <v>49</v>
      </c>
      <c r="C51" s="44">
        <f t="shared" si="4"/>
        <v>5222306.0601092698</v>
      </c>
      <c r="D51" s="3">
        <f t="shared" si="5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73"/>
      <c r="N51" s="117"/>
      <c r="O51" s="122"/>
      <c r="P51" s="122"/>
      <c r="W51" s="198"/>
      <c r="X51" s="198"/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8"/>
        <v>183</v>
      </c>
      <c r="AM51" s="113">
        <f t="shared" si="9"/>
        <v>915000000</v>
      </c>
      <c r="AN51" s="99"/>
    </row>
    <row r="52" spans="1:40" ht="30">
      <c r="A52" s="63">
        <v>1400</v>
      </c>
      <c r="B52" s="11">
        <v>50</v>
      </c>
      <c r="C52" s="44">
        <f t="shared" si="4"/>
        <v>5274529.1207103627</v>
      </c>
      <c r="D52" s="3">
        <f t="shared" si="5"/>
        <v>4284651.7377825286</v>
      </c>
      <c r="E52" s="3">
        <f t="shared" si="10"/>
        <v>519779926.12100261</v>
      </c>
      <c r="F52" s="3"/>
      <c r="G52" s="11"/>
      <c r="H52" s="11"/>
      <c r="K52" s="99"/>
      <c r="L52" s="117"/>
      <c r="M52" s="169" t="s">
        <v>1153</v>
      </c>
      <c r="N52" s="117">
        <v>14908</v>
      </c>
      <c r="O52" s="96" t="s">
        <v>25</v>
      </c>
      <c r="P52" t="s">
        <v>25</v>
      </c>
      <c r="Q52" s="73" t="s">
        <v>4296</v>
      </c>
      <c r="R52" s="112"/>
      <c r="S52" s="112"/>
      <c r="T52" s="112"/>
      <c r="U52" s="169" t="s">
        <v>4369</v>
      </c>
      <c r="V52" s="36" t="s">
        <v>4371</v>
      </c>
      <c r="W52" s="32"/>
      <c r="X52" s="32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169</v>
      </c>
      <c r="AM52" s="113">
        <f t="shared" si="9"/>
        <v>-15210000</v>
      </c>
      <c r="AN52" s="99"/>
    </row>
    <row r="53" spans="1:40">
      <c r="A53" s="63">
        <v>1400</v>
      </c>
      <c r="B53" s="11">
        <v>51</v>
      </c>
      <c r="C53" s="44">
        <f t="shared" si="4"/>
        <v>5327274.4119174667</v>
      </c>
      <c r="D53" s="3">
        <f t="shared" si="5"/>
        <v>4327498.2551603541</v>
      </c>
      <c r="E53" s="3">
        <f t="shared" si="10"/>
        <v>531175300.80017978</v>
      </c>
      <c r="F53" s="3"/>
      <c r="G53" s="11"/>
      <c r="H53" s="11"/>
      <c r="K53" s="99"/>
      <c r="L53" s="99"/>
      <c r="M53" s="169" t="s">
        <v>1154</v>
      </c>
      <c r="N53" s="117">
        <v>5282</v>
      </c>
      <c r="O53" s="96"/>
      <c r="Q53" s="112" t="s">
        <v>267</v>
      </c>
      <c r="R53" s="112" t="s">
        <v>180</v>
      </c>
      <c r="S53" s="112" t="s">
        <v>183</v>
      </c>
      <c r="T53" s="112" t="s">
        <v>8</v>
      </c>
      <c r="U53" s="169"/>
      <c r="V53" s="99"/>
      <c r="W53" s="32">
        <v>2</v>
      </c>
      <c r="X53" s="32">
        <v>4</v>
      </c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8"/>
        <v>168</v>
      </c>
      <c r="AM53" s="113">
        <f t="shared" si="9"/>
        <v>940800000</v>
      </c>
      <c r="AN53" s="99"/>
    </row>
    <row r="54" spans="1:40">
      <c r="A54" s="63">
        <v>1400</v>
      </c>
      <c r="B54" s="11">
        <v>52</v>
      </c>
      <c r="C54" s="49">
        <f t="shared" si="4"/>
        <v>5380547.1560366414</v>
      </c>
      <c r="D54" s="3">
        <f t="shared" si="5"/>
        <v>4370773.2377119577</v>
      </c>
      <c r="E54" s="3">
        <f t="shared" si="10"/>
        <v>542808580.73450804</v>
      </c>
      <c r="F54" s="3"/>
      <c r="G54" s="11"/>
      <c r="H54" s="11"/>
      <c r="K54" s="169"/>
      <c r="L54" s="117"/>
      <c r="M54" s="169"/>
      <c r="N54" s="113"/>
      <c r="O54" s="115"/>
      <c r="P54" s="115"/>
      <c r="Q54" s="170">
        <v>184971545</v>
      </c>
      <c r="R54" s="169" t="s">
        <v>4173</v>
      </c>
      <c r="S54" s="194">
        <v>107</v>
      </c>
      <c r="T54" s="169" t="s">
        <v>4352</v>
      </c>
      <c r="U54" s="169">
        <v>192</v>
      </c>
      <c r="V54" s="99">
        <f>U54*(1+$N$81+$Q$15*S54/36500)</f>
        <v>209.91018082191783</v>
      </c>
      <c r="W54" s="32">
        <f t="shared" ref="W54:W79" si="14">V54*(1+$W$19/100)</f>
        <v>214.10838443835618</v>
      </c>
      <c r="X54" s="32">
        <f t="shared" ref="X54:X79" si="15">V54*(1+$X$19/100)</f>
        <v>218.30658805479456</v>
      </c>
      <c r="Y54">
        <v>961521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8"/>
        <v>164</v>
      </c>
      <c r="AM54" s="113">
        <f t="shared" si="9"/>
        <v>123000000</v>
      </c>
      <c r="AN54" s="99"/>
    </row>
    <row r="55" spans="1:40">
      <c r="A55" s="63">
        <v>1400</v>
      </c>
      <c r="B55" s="11">
        <v>53</v>
      </c>
      <c r="C55" s="49">
        <f t="shared" si="4"/>
        <v>5434352.6275970079</v>
      </c>
      <c r="D55" s="3">
        <f t="shared" si="5"/>
        <v>4414480.970089077</v>
      </c>
      <c r="E55" s="3">
        <f t="shared" si="10"/>
        <v>554684624.00670612</v>
      </c>
      <c r="F55" s="3"/>
      <c r="G55" s="11"/>
      <c r="H55" s="11"/>
      <c r="K55" s="169" t="s">
        <v>25</v>
      </c>
      <c r="L55" s="117"/>
      <c r="M55" s="169" t="s">
        <v>4181</v>
      </c>
      <c r="N55" s="113">
        <f>-O55*P55</f>
        <v>-14328006.299999999</v>
      </c>
      <c r="O55" s="99">
        <v>82773</v>
      </c>
      <c r="P55" s="99">
        <f>P42</f>
        <v>173.1</v>
      </c>
      <c r="Q55" s="170">
        <v>9560464</v>
      </c>
      <c r="R55" s="169" t="s">
        <v>4300</v>
      </c>
      <c r="S55" s="194">
        <f>S54-31</f>
        <v>76</v>
      </c>
      <c r="T55" s="169" t="s">
        <v>4316</v>
      </c>
      <c r="U55" s="169">
        <v>214.57</v>
      </c>
      <c r="V55" s="99">
        <f>U55*(1+$N$81+$Q$15*S55/36500)</f>
        <v>229.48290893150687</v>
      </c>
      <c r="W55" s="32">
        <f t="shared" si="14"/>
        <v>234.07256711013702</v>
      </c>
      <c r="X55" s="32">
        <f t="shared" si="15"/>
        <v>238.66222528876716</v>
      </c>
      <c r="Y55">
        <v>44349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8"/>
        <v>162</v>
      </c>
      <c r="AM55" s="171">
        <f t="shared" si="9"/>
        <v>-687204000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4"/>
        <v>5488696.1538729779</v>
      </c>
      <c r="D56" s="3">
        <f t="shared" si="5"/>
        <v>4458625.7797899675</v>
      </c>
      <c r="E56" s="3">
        <f t="shared" si="10"/>
        <v>566808386.86092329</v>
      </c>
      <c r="F56" s="3"/>
      <c r="G56" s="11"/>
      <c r="H56" s="11"/>
      <c r="K56" s="169"/>
      <c r="L56" s="117"/>
      <c r="M56" s="169"/>
      <c r="N56" s="113"/>
      <c r="Q56" s="170">
        <v>2000000</v>
      </c>
      <c r="R56" s="169" t="s">
        <v>4347</v>
      </c>
      <c r="S56" s="169">
        <f>S55-11</f>
        <v>65</v>
      </c>
      <c r="T56" s="169" t="s">
        <v>4351</v>
      </c>
      <c r="U56" s="169">
        <v>206.8</v>
      </c>
      <c r="V56" s="99">
        <f>U56*(1+$N$81+$Q$15*S56/36500)</f>
        <v>219.42783123287677</v>
      </c>
      <c r="W56" s="32">
        <f t="shared" si="14"/>
        <v>223.81638785753429</v>
      </c>
      <c r="X56" s="32">
        <f t="shared" si="15"/>
        <v>228.20494448219185</v>
      </c>
      <c r="Y56">
        <v>9625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8"/>
        <v>160</v>
      </c>
      <c r="AM56" s="113">
        <f t="shared" si="9"/>
        <v>656000000</v>
      </c>
      <c r="AN56" s="99"/>
    </row>
    <row r="57" spans="1:40">
      <c r="A57" s="63">
        <v>1400</v>
      </c>
      <c r="B57" s="11">
        <v>55</v>
      </c>
      <c r="C57" s="50">
        <f t="shared" si="4"/>
        <v>5543583.1154117081</v>
      </c>
      <c r="D57" s="3">
        <f t="shared" si="5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/>
      <c r="N57" s="113"/>
      <c r="Q57" s="170">
        <v>1429825</v>
      </c>
      <c r="R57" s="169" t="s">
        <v>4378</v>
      </c>
      <c r="S57" s="169">
        <f>S56-7</f>
        <v>58</v>
      </c>
      <c r="T57" s="169" t="s">
        <v>4387</v>
      </c>
      <c r="U57" s="169">
        <v>203.9</v>
      </c>
      <c r="V57" s="99">
        <f>U57*(1+$N$81+$Q$15*S57/36500)</f>
        <v>215.25583342465757</v>
      </c>
      <c r="W57" s="32">
        <f t="shared" si="14"/>
        <v>219.56095009315072</v>
      </c>
      <c r="X57" s="32">
        <f t="shared" si="15"/>
        <v>223.86606676164388</v>
      </c>
      <c r="Y57">
        <v>6980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8"/>
        <v>160</v>
      </c>
      <c r="AM57" s="113">
        <f t="shared" si="9"/>
        <v>656000000</v>
      </c>
      <c r="AN57" s="99"/>
    </row>
    <row r="58" spans="1:40">
      <c r="A58" s="63">
        <v>1400</v>
      </c>
      <c r="B58" s="11">
        <v>56</v>
      </c>
      <c r="C58" s="50">
        <f t="shared" si="4"/>
        <v>5599018.9465658255</v>
      </c>
      <c r="D58" s="3">
        <f t="shared" si="5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 t="s">
        <v>4453</v>
      </c>
      <c r="N58" s="113">
        <f>-S93</f>
        <v>-11011462.677494282</v>
      </c>
      <c r="Q58" s="170">
        <v>1420747</v>
      </c>
      <c r="R58" s="169" t="s">
        <v>4378</v>
      </c>
      <c r="S58" s="169">
        <f>S57</f>
        <v>58</v>
      </c>
      <c r="T58" s="169" t="s">
        <v>4389</v>
      </c>
      <c r="U58" s="169">
        <v>203.1</v>
      </c>
      <c r="V58" s="99">
        <f>U58*(1+$N$81+$Q$15*S58/36500)</f>
        <v>214.41127890410962</v>
      </c>
      <c r="W58" s="32">
        <f t="shared" si="14"/>
        <v>218.69950448219183</v>
      </c>
      <c r="X58" s="32">
        <f t="shared" si="15"/>
        <v>222.987730060274</v>
      </c>
      <c r="Y58">
        <v>6963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8"/>
        <v>159</v>
      </c>
      <c r="AM58" s="113">
        <f t="shared" si="9"/>
        <v>125610000</v>
      </c>
      <c r="AN58" s="99"/>
    </row>
    <row r="59" spans="1:40">
      <c r="A59" s="63">
        <v>1400</v>
      </c>
      <c r="B59" s="11">
        <v>57</v>
      </c>
      <c r="C59" s="50">
        <f t="shared" si="4"/>
        <v>5655009.1360314842</v>
      </c>
      <c r="D59" s="3">
        <f t="shared" si="5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/>
      <c r="N59" s="113"/>
      <c r="P59" t="s">
        <v>25</v>
      </c>
      <c r="Q59" s="170">
        <v>2412371</v>
      </c>
      <c r="R59" s="169" t="s">
        <v>4380</v>
      </c>
      <c r="S59" s="169">
        <f>S58-1</f>
        <v>57</v>
      </c>
      <c r="T59" s="169" t="s">
        <v>4396</v>
      </c>
      <c r="U59" s="169">
        <v>3930</v>
      </c>
      <c r="V59" s="99">
        <f>U59*(1+$N$81+$Q$15*S59/36500)</f>
        <v>4145.8592876712328</v>
      </c>
      <c r="W59" s="32">
        <f t="shared" si="14"/>
        <v>4228.7764734246575</v>
      </c>
      <c r="X59" s="32">
        <f t="shared" si="15"/>
        <v>4311.6936591780823</v>
      </c>
      <c r="Y59" s="96">
        <v>0</v>
      </c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8"/>
        <v>144</v>
      </c>
      <c r="AM59" s="173">
        <f t="shared" si="9"/>
        <v>-556560000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4"/>
        <v>5711559.227391799</v>
      </c>
      <c r="D60" s="3">
        <f t="shared" si="5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/>
      <c r="N60" s="113"/>
      <c r="Q60" s="170">
        <v>2010885</v>
      </c>
      <c r="R60" s="169" t="s">
        <v>4399</v>
      </c>
      <c r="S60" s="169">
        <f>S59-2</f>
        <v>55</v>
      </c>
      <c r="T60" s="169" t="s">
        <v>4405</v>
      </c>
      <c r="U60" s="169">
        <v>202.1</v>
      </c>
      <c r="V60" s="99">
        <f>U60*(1+$N$81+$Q$15*S60/36500)</f>
        <v>212.89047890410961</v>
      </c>
      <c r="W60" s="32">
        <f t="shared" si="14"/>
        <v>217.14828848219182</v>
      </c>
      <c r="X60" s="32">
        <f t="shared" si="15"/>
        <v>221.40609806027402</v>
      </c>
      <c r="Y60" s="96">
        <v>9904</v>
      </c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8"/>
        <v>138</v>
      </c>
      <c r="AM60" s="113">
        <f t="shared" si="9"/>
        <v>2594400000</v>
      </c>
      <c r="AN60" s="20"/>
    </row>
    <row r="61" spans="1:40">
      <c r="A61" s="63">
        <v>1400</v>
      </c>
      <c r="B61" s="11">
        <v>59</v>
      </c>
      <c r="C61" s="3">
        <f t="shared" si="4"/>
        <v>5768674.819665717</v>
      </c>
      <c r="D61" s="3">
        <f t="shared" si="5"/>
        <v>4686060.5041942047</v>
      </c>
      <c r="E61" s="3">
        <f t="shared" si="10"/>
        <v>631323586.68626177</v>
      </c>
      <c r="F61" s="3"/>
      <c r="G61" s="11"/>
      <c r="H61" s="11"/>
      <c r="K61" s="169" t="s">
        <v>598</v>
      </c>
      <c r="L61" s="113">
        <f>SUM(L16:L44)</f>
        <v>256748447.78291869</v>
      </c>
      <c r="M61" s="169"/>
      <c r="N61" s="113">
        <f>SUM(N16:N57)</f>
        <v>322009321.11708134</v>
      </c>
      <c r="Q61" s="170">
        <v>1994038</v>
      </c>
      <c r="R61" s="169" t="s">
        <v>4410</v>
      </c>
      <c r="S61" s="169">
        <f>S60-3</f>
        <v>52</v>
      </c>
      <c r="T61" s="169" t="s">
        <v>4427</v>
      </c>
      <c r="U61" s="169">
        <v>5560.3</v>
      </c>
      <c r="V61" s="99">
        <f>U61*(1+$N$81+$Q$15*S61/36500)</f>
        <v>5844.3780120547945</v>
      </c>
      <c r="W61" s="32">
        <f t="shared" si="14"/>
        <v>5961.2655722958907</v>
      </c>
      <c r="X61" s="32">
        <f t="shared" si="15"/>
        <v>6078.153132536986</v>
      </c>
      <c r="Y61" s="96">
        <v>0</v>
      </c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8"/>
        <v>135</v>
      </c>
      <c r="AM61" s="113">
        <f t="shared" si="9"/>
        <v>67500000</v>
      </c>
      <c r="AN61" s="20"/>
    </row>
    <row r="62" spans="1:40">
      <c r="A62" s="63">
        <v>1400</v>
      </c>
      <c r="B62" s="11">
        <v>60</v>
      </c>
      <c r="C62" s="3">
        <f t="shared" si="4"/>
        <v>5826361.5678623738</v>
      </c>
      <c r="D62" s="3">
        <f t="shared" si="5"/>
        <v>4732921.1092361463</v>
      </c>
      <c r="E62" s="46">
        <f t="shared" si="10"/>
        <v>645043498.87861323</v>
      </c>
      <c r="F62" s="3"/>
      <c r="G62" s="11"/>
      <c r="H62" s="11"/>
      <c r="K62" s="169" t="s">
        <v>599</v>
      </c>
      <c r="L62" s="113">
        <f>L16+L17+L24</f>
        <v>2948929</v>
      </c>
      <c r="M62" s="169"/>
      <c r="N62" s="113">
        <f>N16+N17+N32</f>
        <v>7343646</v>
      </c>
      <c r="Q62" s="170">
        <v>444</v>
      </c>
      <c r="R62" s="169" t="s">
        <v>4410</v>
      </c>
      <c r="S62" s="196">
        <f>S61</f>
        <v>52</v>
      </c>
      <c r="T62" s="169" t="s">
        <v>4650</v>
      </c>
      <c r="U62" s="169">
        <v>441.8</v>
      </c>
      <c r="V62" s="99">
        <f>U62*(1+$N$81+$Q$15*S62/36500)</f>
        <v>464.37174356164383</v>
      </c>
      <c r="W62" s="32">
        <f t="shared" si="14"/>
        <v>473.65917843287673</v>
      </c>
      <c r="X62" s="32">
        <f t="shared" si="15"/>
        <v>482.94661330410958</v>
      </c>
      <c r="Y62" s="96">
        <v>0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134</v>
      </c>
      <c r="AM62" s="113">
        <f t="shared" si="9"/>
        <v>26800000</v>
      </c>
      <c r="AN62" s="20"/>
    </row>
    <row r="63" spans="1:40">
      <c r="E63" s="26"/>
      <c r="K63" s="56" t="s">
        <v>716</v>
      </c>
      <c r="L63" s="1">
        <f>L61+N7</f>
        <v>326748447.78291869</v>
      </c>
      <c r="M63" s="113"/>
      <c r="N63" s="169"/>
      <c r="O63" s="115"/>
      <c r="P63" s="115"/>
      <c r="Q63" s="170">
        <v>1971103</v>
      </c>
      <c r="R63" s="169" t="s">
        <v>4422</v>
      </c>
      <c r="S63" s="169">
        <f>S62-1</f>
        <v>51</v>
      </c>
      <c r="T63" s="169" t="s">
        <v>4423</v>
      </c>
      <c r="U63" s="169">
        <v>196.2</v>
      </c>
      <c r="V63" s="99">
        <f>U63*(1+$N$81+$Q$15*S63/36500)</f>
        <v>206.07342904109589</v>
      </c>
      <c r="W63" s="32">
        <f t="shared" si="14"/>
        <v>210.19489762191782</v>
      </c>
      <c r="X63" s="32">
        <f t="shared" si="15"/>
        <v>214.31636620273974</v>
      </c>
      <c r="Y63" s="96">
        <v>10000</v>
      </c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8"/>
        <v>131</v>
      </c>
      <c r="AM63" s="113">
        <f t="shared" si="9"/>
        <v>131000000</v>
      </c>
      <c r="AN63" s="20"/>
    </row>
    <row r="64" spans="1:40">
      <c r="E64" s="26"/>
      <c r="O64" s="96"/>
      <c r="P64" s="96"/>
      <c r="Q64" s="170">
        <v>1049856</v>
      </c>
      <c r="R64" s="169" t="s">
        <v>4445</v>
      </c>
      <c r="S64" s="202">
        <f>S63-6</f>
        <v>45</v>
      </c>
      <c r="T64" s="169" t="s">
        <v>4484</v>
      </c>
      <c r="U64" s="169">
        <v>184.5</v>
      </c>
      <c r="V64" s="99">
        <f>U64*(1+$N$81+$Q$15*S64/36500)</f>
        <v>192.93544109589044</v>
      </c>
      <c r="W64" s="32">
        <f t="shared" si="14"/>
        <v>196.79414991780826</v>
      </c>
      <c r="X64" s="32">
        <f t="shared" si="15"/>
        <v>200.65285873972607</v>
      </c>
      <c r="Y64" s="96">
        <v>5664</v>
      </c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128</v>
      </c>
      <c r="AM64" s="113">
        <f t="shared" si="9"/>
        <v>166400000</v>
      </c>
      <c r="AN64" s="20"/>
    </row>
    <row r="65" spans="1:40">
      <c r="M65" s="25"/>
      <c r="O65" t="s">
        <v>25</v>
      </c>
      <c r="Q65" s="170">
        <v>1783234</v>
      </c>
      <c r="R65" s="169" t="s">
        <v>4447</v>
      </c>
      <c r="S65" s="169">
        <f>S64-2</f>
        <v>43</v>
      </c>
      <c r="T65" s="169" t="s">
        <v>4448</v>
      </c>
      <c r="U65" s="169">
        <v>177.5</v>
      </c>
      <c r="V65" s="99">
        <f>U65*(1+$N$81+$Q$15*S65/36500)</f>
        <v>185.3430684931507</v>
      </c>
      <c r="W65" s="32">
        <f t="shared" si="14"/>
        <v>189.04992986301372</v>
      </c>
      <c r="X65" s="32">
        <f t="shared" si="15"/>
        <v>192.75679123287674</v>
      </c>
      <c r="Y65" s="96">
        <v>10000</v>
      </c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16">AL66+AK65</f>
        <v>128</v>
      </c>
      <c r="AM65" s="113">
        <f t="shared" si="9"/>
        <v>127360000</v>
      </c>
      <c r="AN65" s="20"/>
    </row>
    <row r="66" spans="1:40">
      <c r="M66" s="25" t="s">
        <v>4081</v>
      </c>
      <c r="O66" s="115"/>
      <c r="P66" s="115"/>
      <c r="Q66" s="170">
        <v>1662335</v>
      </c>
      <c r="R66" s="169" t="s">
        <v>4451</v>
      </c>
      <c r="S66" s="201">
        <f>S65-5</f>
        <v>38</v>
      </c>
      <c r="T66" s="73" t="s">
        <v>4625</v>
      </c>
      <c r="U66" s="169">
        <v>190.3</v>
      </c>
      <c r="V66" s="99">
        <f>U66*(1+$N$81+$Q$15*S66/36500)</f>
        <v>197.9787353424658</v>
      </c>
      <c r="W66" s="32">
        <f t="shared" si="14"/>
        <v>201.93831004931511</v>
      </c>
      <c r="X66" s="32">
        <f t="shared" si="15"/>
        <v>205.89788475616444</v>
      </c>
      <c r="Y66" s="96">
        <v>8695</v>
      </c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16"/>
        <v>126</v>
      </c>
      <c r="AM66" s="113">
        <f t="shared" si="9"/>
        <v>1638000000</v>
      </c>
      <c r="AN66" s="20"/>
    </row>
    <row r="67" spans="1:40">
      <c r="A67" t="s">
        <v>25</v>
      </c>
      <c r="F67" t="s">
        <v>310</v>
      </c>
      <c r="G67" t="s">
        <v>4100</v>
      </c>
      <c r="M67" s="178"/>
      <c r="O67" s="115"/>
      <c r="P67" s="115"/>
      <c r="Q67" s="170">
        <v>159753</v>
      </c>
      <c r="R67" s="169" t="s">
        <v>4582</v>
      </c>
      <c r="S67" s="169">
        <f>S66-25</f>
        <v>13</v>
      </c>
      <c r="T67" s="73" t="s">
        <v>4600</v>
      </c>
      <c r="U67" s="169">
        <v>286</v>
      </c>
      <c r="V67" s="99">
        <f>U67*(1+$N$81+$Q$15*S67/36500)</f>
        <v>292.05536438356165</v>
      </c>
      <c r="W67" s="32">
        <f t="shared" si="14"/>
        <v>297.89647167123292</v>
      </c>
      <c r="X67" s="32">
        <f t="shared" si="15"/>
        <v>303.73757895890412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16"/>
        <v>124</v>
      </c>
      <c r="AM67" s="113">
        <f t="shared" si="9"/>
        <v>-384400000</v>
      </c>
      <c r="AN67" s="20"/>
    </row>
    <row r="68" spans="1:40">
      <c r="F68" t="s">
        <v>4104</v>
      </c>
      <c r="G68" t="s">
        <v>4099</v>
      </c>
      <c r="M68" s="96"/>
      <c r="Q68" s="170">
        <v>172133</v>
      </c>
      <c r="R68" s="169" t="s">
        <v>4584</v>
      </c>
      <c r="S68" s="169">
        <f>S67-3</f>
        <v>10</v>
      </c>
      <c r="T68" s="73" t="s">
        <v>4601</v>
      </c>
      <c r="U68" s="169">
        <v>287</v>
      </c>
      <c r="V68" s="99">
        <f>U68*(1+$N$81+$Q$15*S68/36500)</f>
        <v>292.41604383561645</v>
      </c>
      <c r="W68" s="32">
        <f t="shared" si="14"/>
        <v>298.26436471232876</v>
      </c>
      <c r="X68" s="32">
        <f t="shared" si="15"/>
        <v>304.11268558904112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16"/>
        <v>121</v>
      </c>
      <c r="AM68" s="113">
        <f t="shared" si="9"/>
        <v>5522440000</v>
      </c>
      <c r="AN68" s="20"/>
    </row>
    <row r="69" spans="1:40">
      <c r="F69" t="s">
        <v>4105</v>
      </c>
      <c r="G69" t="s">
        <v>4101</v>
      </c>
      <c r="M69" s="122" t="s">
        <v>4417</v>
      </c>
      <c r="O69" s="114"/>
      <c r="Q69" s="170">
        <v>100530</v>
      </c>
      <c r="R69" s="169" t="s">
        <v>4584</v>
      </c>
      <c r="S69" s="169">
        <f>S68</f>
        <v>10</v>
      </c>
      <c r="T69" s="73" t="s">
        <v>4602</v>
      </c>
      <c r="U69" s="169">
        <v>508</v>
      </c>
      <c r="V69" s="99">
        <f>U69*(1+$N$81+$Q$15*S69/36500)</f>
        <v>517.58658630136995</v>
      </c>
      <c r="W69" s="32">
        <f t="shared" si="14"/>
        <v>527.93831802739737</v>
      </c>
      <c r="X69" s="32">
        <f t="shared" si="15"/>
        <v>538.2900497534248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16"/>
        <v>120</v>
      </c>
      <c r="AM69" s="113">
        <f t="shared" si="9"/>
        <v>4020000000</v>
      </c>
      <c r="AN69" s="20"/>
    </row>
    <row r="70" spans="1:40">
      <c r="G70" t="s">
        <v>4102</v>
      </c>
      <c r="M70" s="122" t="s">
        <v>4519</v>
      </c>
      <c r="N70" s="96"/>
      <c r="Q70" s="170">
        <v>499973</v>
      </c>
      <c r="R70" s="169" t="s">
        <v>4614</v>
      </c>
      <c r="S70" s="169">
        <f>S69-9</f>
        <v>1</v>
      </c>
      <c r="T70" s="73" t="s">
        <v>4615</v>
      </c>
      <c r="U70" s="169">
        <v>413</v>
      </c>
      <c r="V70" s="99">
        <f>U70*(1+$N$81+$Q$15*S70/36500)</f>
        <v>417.94242191780825</v>
      </c>
      <c r="W70" s="32">
        <f t="shared" si="14"/>
        <v>426.30127035616442</v>
      </c>
      <c r="X70" s="32">
        <f t="shared" si="15"/>
        <v>434.6601187945206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16"/>
        <v>119</v>
      </c>
      <c r="AM70" s="117">
        <f t="shared" si="9"/>
        <v>1428000000</v>
      </c>
      <c r="AN70" s="20"/>
    </row>
    <row r="71" spans="1:40">
      <c r="G71" t="s">
        <v>4103</v>
      </c>
      <c r="M71" s="122" t="s">
        <v>4606</v>
      </c>
      <c r="N71" s="96"/>
      <c r="P71" t="s">
        <v>25</v>
      </c>
      <c r="Q71" s="170">
        <v>11869317</v>
      </c>
      <c r="R71" s="169" t="s">
        <v>4626</v>
      </c>
      <c r="S71" s="169">
        <f>S70-2</f>
        <v>-1</v>
      </c>
      <c r="T71" s="169" t="s">
        <v>4627</v>
      </c>
      <c r="U71" s="169">
        <v>395600</v>
      </c>
      <c r="V71" s="99">
        <f>U71*(1+$N$81+$Q$15*S71/36500)</f>
        <v>399727.24602739734</v>
      </c>
      <c r="W71" s="32">
        <f t="shared" si="14"/>
        <v>407721.79094794532</v>
      </c>
      <c r="X71" s="32">
        <f t="shared" si="15"/>
        <v>415716.33586849325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16"/>
        <v>118</v>
      </c>
      <c r="AM71" s="117">
        <f t="shared" si="9"/>
        <v>1829000000</v>
      </c>
      <c r="AN71" s="20"/>
    </row>
    <row r="72" spans="1:40">
      <c r="G72" t="s">
        <v>4107</v>
      </c>
      <c r="M72" s="211" t="s">
        <v>4599</v>
      </c>
      <c r="N72" s="96"/>
      <c r="P72" s="115"/>
      <c r="Q72" s="170">
        <v>2272487</v>
      </c>
      <c r="R72" s="169" t="s">
        <v>4636</v>
      </c>
      <c r="S72" s="169">
        <f>S71-3</f>
        <v>-4</v>
      </c>
      <c r="T72" s="169" t="s">
        <v>4637</v>
      </c>
      <c r="U72" s="169">
        <v>174.9</v>
      </c>
      <c r="V72" s="99">
        <f>U72*(1+$N$81+$Q$15*S72/36500)</f>
        <v>176.32220054794522</v>
      </c>
      <c r="W72" s="32">
        <f t="shared" si="14"/>
        <v>179.84864455890411</v>
      </c>
      <c r="X72" s="32">
        <f t="shared" si="15"/>
        <v>183.37508856986304</v>
      </c>
      <c r="Y72">
        <v>13000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16"/>
        <v>114</v>
      </c>
      <c r="AM72" s="117">
        <f t="shared" si="9"/>
        <v>17100000</v>
      </c>
      <c r="AN72" s="20"/>
    </row>
    <row r="73" spans="1:40">
      <c r="G73" t="s">
        <v>4106</v>
      </c>
      <c r="M73" s="122" t="s">
        <v>4518</v>
      </c>
      <c r="N73" s="96"/>
      <c r="P73" s="115" t="s">
        <v>25</v>
      </c>
      <c r="Q73" s="170">
        <v>66404</v>
      </c>
      <c r="R73" s="169" t="s">
        <v>4643</v>
      </c>
      <c r="S73" s="169">
        <f>S72-1</f>
        <v>-5</v>
      </c>
      <c r="T73" s="169" t="s">
        <v>4645</v>
      </c>
      <c r="U73" s="169">
        <v>195</v>
      </c>
      <c r="V73" s="99">
        <f>U73*(1+$N$81+$Q$15*S73/36500)</f>
        <v>196.43605479452057</v>
      </c>
      <c r="W73" s="32">
        <f t="shared" si="14"/>
        <v>200.36477589041098</v>
      </c>
      <c r="X73" s="32">
        <f t="shared" si="15"/>
        <v>204.29349698630139</v>
      </c>
      <c r="Y73" t="s">
        <v>25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16"/>
        <v>113</v>
      </c>
      <c r="AM73" s="182">
        <f t="shared" si="9"/>
        <v>3277000000</v>
      </c>
      <c r="AN73" s="181" t="s">
        <v>4187</v>
      </c>
    </row>
    <row r="74" spans="1:40">
      <c r="M74" s="122" t="s">
        <v>4608</v>
      </c>
      <c r="O74" t="s">
        <v>25</v>
      </c>
      <c r="P74" s="115"/>
      <c r="Q74" s="170">
        <v>3995989</v>
      </c>
      <c r="R74" s="169" t="s">
        <v>4643</v>
      </c>
      <c r="S74" s="169">
        <f>S73</f>
        <v>-5</v>
      </c>
      <c r="T74" s="169" t="s">
        <v>4658</v>
      </c>
      <c r="U74" s="169">
        <v>399100</v>
      </c>
      <c r="V74" s="99">
        <f>U74*(1+$N$81+$Q$15*S74/36500)</f>
        <v>402039.12547945208</v>
      </c>
      <c r="W74" s="32">
        <f t="shared" si="14"/>
        <v>410079.90798904112</v>
      </c>
      <c r="X74" s="32">
        <f t="shared" si="15"/>
        <v>418120.69049863017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16"/>
        <v>98</v>
      </c>
      <c r="AM74" s="117">
        <f t="shared" si="9"/>
        <v>-12740000</v>
      </c>
      <c r="AN74" s="20" t="s">
        <v>4213</v>
      </c>
    </row>
    <row r="75" spans="1:40">
      <c r="M75" s="96">
        <f>O42+O21+O28-O55</f>
        <v>1124818</v>
      </c>
      <c r="N75" s="113">
        <f>M75*P42</f>
        <v>194705995.79999998</v>
      </c>
      <c r="P75" s="115"/>
      <c r="Q75" s="170">
        <v>1013178</v>
      </c>
      <c r="R75" s="169" t="s">
        <v>4643</v>
      </c>
      <c r="S75" s="169">
        <f>S74</f>
        <v>-5</v>
      </c>
      <c r="T75" s="169" t="s">
        <v>4647</v>
      </c>
      <c r="U75" s="169">
        <v>5043</v>
      </c>
      <c r="V75" s="99">
        <f>U75*(1+$N$81+$Q$15*S75/36500)</f>
        <v>5080.1385863013702</v>
      </c>
      <c r="W75" s="32">
        <f t="shared" si="14"/>
        <v>5181.7413580273978</v>
      </c>
      <c r="X75" s="32">
        <f t="shared" si="15"/>
        <v>5283.3441297534255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16"/>
        <v>91</v>
      </c>
      <c r="AM75" s="117">
        <f>AJ75*AL75</f>
        <v>21112000</v>
      </c>
      <c r="AN75" s="20" t="s">
        <v>4261</v>
      </c>
    </row>
    <row r="76" spans="1:40">
      <c r="D76" s="3"/>
      <c r="E76" s="11" t="s">
        <v>304</v>
      </c>
      <c r="M76" t="s">
        <v>4268</v>
      </c>
      <c r="P76" s="115"/>
      <c r="Q76" s="170">
        <v>3975257</v>
      </c>
      <c r="R76" s="169" t="s">
        <v>4643</v>
      </c>
      <c r="S76" s="169">
        <f>S75</f>
        <v>-5</v>
      </c>
      <c r="T76" s="169" t="s">
        <v>4648</v>
      </c>
      <c r="U76" s="169">
        <v>173</v>
      </c>
      <c r="V76" s="99">
        <f>U76*(1+$N$81+$Q$15*S76/36500)</f>
        <v>174.2740383561644</v>
      </c>
      <c r="W76" s="32">
        <f t="shared" si="14"/>
        <v>177.75951912328767</v>
      </c>
      <c r="X76" s="32">
        <f t="shared" si="15"/>
        <v>181.24499989041098</v>
      </c>
      <c r="Y76">
        <v>23000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16"/>
        <v>89</v>
      </c>
      <c r="AM76" s="117">
        <f t="shared" si="9"/>
        <v>-15130000</v>
      </c>
      <c r="AN76" s="20"/>
    </row>
    <row r="77" spans="1:40">
      <c r="D77" s="1" t="s">
        <v>305</v>
      </c>
      <c r="E77" s="1">
        <v>70000</v>
      </c>
      <c r="M77" t="s">
        <v>4612</v>
      </c>
      <c r="N77" t="s">
        <v>25</v>
      </c>
      <c r="P77" s="115"/>
      <c r="Q77" s="170">
        <v>1031662</v>
      </c>
      <c r="R77" s="169" t="s">
        <v>4235</v>
      </c>
      <c r="S77" s="169">
        <f>S76-1</f>
        <v>-6</v>
      </c>
      <c r="T77" s="169" t="s">
        <v>4652</v>
      </c>
      <c r="U77" s="169">
        <v>171.2</v>
      </c>
      <c r="V77" s="99">
        <f>U77*(1+$N$81+$Q$15*S77/36500)</f>
        <v>172.32945095890412</v>
      </c>
      <c r="W77" s="32">
        <f t="shared" si="14"/>
        <v>175.7760399780822</v>
      </c>
      <c r="X77" s="32">
        <f t="shared" si="15"/>
        <v>179.2226289972603</v>
      </c>
      <c r="Y77">
        <v>6000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16"/>
        <v>86</v>
      </c>
      <c r="AM77" s="117">
        <f t="shared" si="9"/>
        <v>-25800000</v>
      </c>
      <c r="AN77" s="20"/>
    </row>
    <row r="78" spans="1:40">
      <c r="D78" s="1" t="s">
        <v>321</v>
      </c>
      <c r="E78" s="1">
        <v>100000</v>
      </c>
      <c r="P78" s="115"/>
      <c r="Q78" s="170">
        <v>2666019</v>
      </c>
      <c r="R78" s="169" t="s">
        <v>4235</v>
      </c>
      <c r="S78" s="169">
        <f>S77</f>
        <v>-6</v>
      </c>
      <c r="T78" s="169" t="s">
        <v>4654</v>
      </c>
      <c r="U78" s="169">
        <v>749</v>
      </c>
      <c r="V78" s="99">
        <f>U78*(1+$N$81+$Q$15*S78/36500)</f>
        <v>753.94134794520562</v>
      </c>
      <c r="W78" s="32">
        <f t="shared" si="14"/>
        <v>769.02017490410969</v>
      </c>
      <c r="X78" s="32">
        <f t="shared" si="15"/>
        <v>784.09900186301388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83</v>
      </c>
      <c r="AM78" s="117">
        <f t="shared" si="9"/>
        <v>-946200000</v>
      </c>
      <c r="AN78" s="20"/>
    </row>
    <row r="79" spans="1:40">
      <c r="D79" s="1" t="s">
        <v>306</v>
      </c>
      <c r="E79" s="1">
        <v>80000</v>
      </c>
      <c r="M79" t="s">
        <v>949</v>
      </c>
      <c r="N79">
        <v>6.3E-3</v>
      </c>
      <c r="P79" s="115"/>
      <c r="Q79" s="170">
        <v>577500</v>
      </c>
      <c r="R79" s="169" t="s">
        <v>4235</v>
      </c>
      <c r="S79" s="169">
        <f>S78</f>
        <v>-6</v>
      </c>
      <c r="T79" s="169" t="s">
        <v>4657</v>
      </c>
      <c r="U79" s="169">
        <v>175</v>
      </c>
      <c r="V79" s="99">
        <f>U79*(1+$N$81+$Q$15*S79/36500)</f>
        <v>176.15452054794522</v>
      </c>
      <c r="W79" s="32">
        <f t="shared" si="14"/>
        <v>179.67761095890413</v>
      </c>
      <c r="X79" s="32">
        <f t="shared" si="15"/>
        <v>183.20070136986305</v>
      </c>
      <c r="Y79">
        <v>3300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70</v>
      </c>
      <c r="AM79" s="117">
        <f>AJ79*AL79</f>
        <v>-700000000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61</v>
      </c>
      <c r="N80">
        <v>4.8999999999999998E-3</v>
      </c>
      <c r="P80" s="115"/>
      <c r="Q80" s="170"/>
      <c r="R80" s="169"/>
      <c r="S80" s="169"/>
      <c r="T80" s="169"/>
      <c r="U80" s="169"/>
      <c r="V80" s="99"/>
      <c r="W80" s="32"/>
      <c r="X80" s="32"/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69</v>
      </c>
      <c r="AM80" s="117">
        <f>AJ80*AL80</f>
        <v>-169050000</v>
      </c>
      <c r="AN80" s="20"/>
    </row>
    <row r="81" spans="4:52">
      <c r="D81" s="31" t="s">
        <v>308</v>
      </c>
      <c r="E81" s="1">
        <v>300000</v>
      </c>
      <c r="M81" t="s">
        <v>6</v>
      </c>
      <c r="N81">
        <f>N79+N80</f>
        <v>1.12E-2</v>
      </c>
      <c r="O81" t="s">
        <v>25</v>
      </c>
      <c r="P81" t="s">
        <v>25</v>
      </c>
      <c r="Q81" s="113">
        <f>SUM(N41:N50)-SUM(Q54:Q80)</f>
        <v>-22517354.100000024</v>
      </c>
      <c r="R81" s="112"/>
      <c r="S81" s="112"/>
      <c r="T81" s="112"/>
      <c r="U81" s="169"/>
      <c r="V81" s="99" t="s">
        <v>25</v>
      </c>
      <c r="W81" s="32"/>
      <c r="X81" s="32"/>
      <c r="Y81" t="s">
        <v>25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16"/>
        <v>64</v>
      </c>
      <c r="AM81" s="117">
        <f t="shared" si="9"/>
        <v>-29189184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Q82" s="26"/>
      <c r="R82" s="183"/>
      <c r="S82" s="183"/>
      <c r="T82" t="s">
        <v>25</v>
      </c>
      <c r="U82" s="96" t="s">
        <v>25</v>
      </c>
      <c r="V82" s="96" t="s">
        <v>25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63</v>
      </c>
      <c r="AM82" s="117">
        <f t="shared" si="9"/>
        <v>-31500000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R83" s="32" t="s">
        <v>4596</v>
      </c>
      <c r="S83" s="32" t="s">
        <v>950</v>
      </c>
      <c r="T83" t="s">
        <v>25</v>
      </c>
      <c r="U83" s="96" t="s">
        <v>25</v>
      </c>
      <c r="V83" s="96" t="s">
        <v>25</v>
      </c>
      <c r="W83" s="96" t="s">
        <v>25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16"/>
        <v>61</v>
      </c>
      <c r="AM83" s="117">
        <f t="shared" si="9"/>
        <v>-380296570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R84" s="32">
        <v>20</v>
      </c>
      <c r="S84" s="170">
        <v>7991977</v>
      </c>
      <c r="U84" s="96" t="s">
        <v>25</v>
      </c>
      <c r="V84" s="122" t="s">
        <v>25</v>
      </c>
      <c r="X84" t="s">
        <v>25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16"/>
        <v>58</v>
      </c>
      <c r="AM84" s="117">
        <f t="shared" si="9"/>
        <v>113155506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M85" s="197" t="s">
        <v>4550</v>
      </c>
      <c r="Q85" t="s">
        <v>25</v>
      </c>
      <c r="R85" s="32">
        <v>10</v>
      </c>
      <c r="S85" s="1">
        <f>S84*R85/R84</f>
        <v>3995988.5</v>
      </c>
      <c r="U85" s="96" t="s">
        <v>25</v>
      </c>
      <c r="W85" s="96" t="s">
        <v>25</v>
      </c>
      <c r="X85" t="s">
        <v>25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16"/>
        <v>54</v>
      </c>
      <c r="AM85" s="117">
        <f t="shared" si="9"/>
        <v>32400000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M86" t="s">
        <v>4551</v>
      </c>
      <c r="R86" s="32">
        <f>R84-R85</f>
        <v>10</v>
      </c>
      <c r="S86" s="1">
        <f>R86*S84/R84</f>
        <v>3995988.5</v>
      </c>
      <c r="V86" s="96"/>
      <c r="W86"/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16"/>
        <v>49</v>
      </c>
      <c r="AM86" s="117">
        <f t="shared" si="9"/>
        <v>367500000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t="s">
        <v>4552</v>
      </c>
      <c r="V87" s="96"/>
      <c r="W87"/>
      <c r="Y87" s="128" t="s">
        <v>25</v>
      </c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16"/>
        <v>47</v>
      </c>
      <c r="AM87" s="117">
        <f t="shared" si="9"/>
        <v>-27627352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4397</v>
      </c>
      <c r="Q88" s="99" t="s">
        <v>4470</v>
      </c>
      <c r="R88" s="99" t="s">
        <v>4472</v>
      </c>
      <c r="S88" s="99"/>
      <c r="T88" s="99" t="s">
        <v>4473</v>
      </c>
      <c r="U88" s="99"/>
      <c r="V88" s="99"/>
      <c r="W88" s="99" t="s">
        <v>4605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44</v>
      </c>
      <c r="AM88" s="117">
        <f t="shared" si="9"/>
        <v>-39929516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4416</v>
      </c>
      <c r="Q89" s="113">
        <v>1000</v>
      </c>
      <c r="R89" s="99">
        <v>0.25</v>
      </c>
      <c r="S89" s="99"/>
      <c r="T89" s="99">
        <f>1-R89</f>
        <v>0.75</v>
      </c>
      <c r="U89" s="99"/>
      <c r="V89" s="99"/>
      <c r="W89" s="99"/>
      <c r="Y89" s="115" t="s">
        <v>25</v>
      </c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16"/>
        <v>44</v>
      </c>
      <c r="AM89" s="117">
        <f t="shared" si="9"/>
        <v>107800000</v>
      </c>
      <c r="AN89" s="20" t="s">
        <v>4490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4553</v>
      </c>
      <c r="Q90" s="169" t="s">
        <v>4457</v>
      </c>
      <c r="R90" s="169" t="s">
        <v>4475</v>
      </c>
      <c r="S90" s="169" t="s">
        <v>4477</v>
      </c>
      <c r="T90" s="169" t="s">
        <v>180</v>
      </c>
      <c r="U90" s="169" t="s">
        <v>4471</v>
      </c>
      <c r="V90" s="56" t="s">
        <v>4474</v>
      </c>
      <c r="W90" s="99"/>
      <c r="X90" s="115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4492</v>
      </c>
      <c r="AJ90" s="117">
        <v>1500000</v>
      </c>
      <c r="AK90" s="20">
        <v>1</v>
      </c>
      <c r="AL90" s="99">
        <f t="shared" si="16"/>
        <v>43</v>
      </c>
      <c r="AM90" s="117">
        <f t="shared" si="9"/>
        <v>64500000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4401</v>
      </c>
      <c r="Q91" s="169" t="s">
        <v>751</v>
      </c>
      <c r="R91" s="56">
        <v>743223</v>
      </c>
      <c r="S91" s="113">
        <f>R91*$T$120</f>
        <v>180295477.73958701</v>
      </c>
      <c r="T91" s="169" t="s">
        <v>4469</v>
      </c>
      <c r="U91" s="169">
        <f>$Q$89*$T$89*S91/$R$114</f>
        <v>499.63854860120773</v>
      </c>
      <c r="V91" s="95">
        <f>S91+U91</f>
        <v>180295977.37813562</v>
      </c>
      <c r="W91" s="99">
        <f>R91*100/U117</f>
        <v>66.618473146827696</v>
      </c>
      <c r="X91" s="163"/>
      <c r="Y91" s="115"/>
      <c r="Z91" s="115"/>
      <c r="AA91" s="115"/>
      <c r="AE91"/>
      <c r="AG91" s="96"/>
      <c r="AH91" s="20">
        <v>71</v>
      </c>
      <c r="AI91" s="117" t="s">
        <v>4498</v>
      </c>
      <c r="AJ91" s="117">
        <v>2648000</v>
      </c>
      <c r="AK91" s="20">
        <v>1</v>
      </c>
      <c r="AL91" s="99">
        <f t="shared" si="16"/>
        <v>42</v>
      </c>
      <c r="AM91" s="117">
        <f t="shared" si="9"/>
        <v>111216000</v>
      </c>
      <c r="AN91" s="20" t="s">
        <v>4499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4554</v>
      </c>
      <c r="Q92" s="169" t="s">
        <v>4459</v>
      </c>
      <c r="R92" s="56">
        <v>327026</v>
      </c>
      <c r="S92" s="113">
        <f>R92*$T$120</f>
        <v>79331921.782918692</v>
      </c>
      <c r="T92" s="169" t="s">
        <v>4469</v>
      </c>
      <c r="U92" s="169">
        <f>$Q$89*$T$89*S92/$R$114+Q89*R89</f>
        <v>469.846258787549</v>
      </c>
      <c r="V92" s="95">
        <f>S92+U92</f>
        <v>79332391.629177481</v>
      </c>
      <c r="W92" s="99">
        <f>R92*100/U117</f>
        <v>29.312834505006538</v>
      </c>
      <c r="X92" s="115"/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16"/>
        <v>41</v>
      </c>
      <c r="AM92" s="117">
        <f t="shared" si="9"/>
        <v>25215000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4555</v>
      </c>
      <c r="P93" s="115"/>
      <c r="Q93" s="169" t="s">
        <v>4458</v>
      </c>
      <c r="R93" s="56">
        <v>45392</v>
      </c>
      <c r="S93" s="113">
        <f>R93*$T$120</f>
        <v>11011462.677494282</v>
      </c>
      <c r="T93" s="169" t="s">
        <v>4469</v>
      </c>
      <c r="U93" s="169">
        <f>$Q$89*$T$89*S93/$R$114</f>
        <v>30.515192611243219</v>
      </c>
      <c r="V93" s="95">
        <f>S93+U93</f>
        <v>11011493.192686893</v>
      </c>
      <c r="W93" s="99">
        <f>R93*100/U117</f>
        <v>4.0686923481657633</v>
      </c>
      <c r="X93" s="115"/>
      <c r="Y93" s="115"/>
      <c r="Z93" s="115"/>
      <c r="AA93" s="115"/>
      <c r="AE93"/>
      <c r="AG93" s="96"/>
      <c r="AH93" s="20">
        <v>73</v>
      </c>
      <c r="AI93" s="117" t="s">
        <v>4510</v>
      </c>
      <c r="AJ93" s="117">
        <v>14000000</v>
      </c>
      <c r="AK93" s="20">
        <v>2</v>
      </c>
      <c r="AL93" s="99">
        <f>AL94+AK93</f>
        <v>37</v>
      </c>
      <c r="AM93" s="117">
        <f t="shared" si="9"/>
        <v>518000000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P94" s="128"/>
      <c r="Q94" s="169"/>
      <c r="R94" s="56"/>
      <c r="S94" s="169"/>
      <c r="T94" s="169"/>
      <c r="U94" s="169"/>
      <c r="V94" s="99"/>
      <c r="W94" s="99"/>
      <c r="X94" s="115"/>
      <c r="AH94" s="20">
        <v>74</v>
      </c>
      <c r="AI94" s="117" t="s">
        <v>4516</v>
      </c>
      <c r="AJ94" s="117">
        <v>1313000</v>
      </c>
      <c r="AK94" s="20">
        <v>0</v>
      </c>
      <c r="AL94" s="99">
        <f>AL95+AK94</f>
        <v>35</v>
      </c>
      <c r="AM94" s="117">
        <f t="shared" si="9"/>
        <v>45955000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P95" s="128"/>
      <c r="Q95" s="169"/>
      <c r="R95" s="56"/>
      <c r="S95" s="169"/>
      <c r="T95" s="169"/>
      <c r="U95" s="169"/>
      <c r="V95" s="169"/>
      <c r="W95" s="99"/>
      <c r="X95" s="96"/>
      <c r="AH95" s="99">
        <v>75</v>
      </c>
      <c r="AI95" s="113" t="s">
        <v>4516</v>
      </c>
      <c r="AJ95" s="113">
        <v>2269000</v>
      </c>
      <c r="AK95" s="99">
        <v>1</v>
      </c>
      <c r="AL95" s="99">
        <f t="shared" ref="AL95:AL123" si="17">AL96+AK95</f>
        <v>35</v>
      </c>
      <c r="AM95" s="117">
        <f t="shared" si="9"/>
        <v>79415000</v>
      </c>
      <c r="AN95" s="99"/>
    </row>
    <row r="96" spans="4:52">
      <c r="D96" s="32" t="s">
        <v>314</v>
      </c>
      <c r="E96" s="1">
        <v>140000</v>
      </c>
      <c r="P96" s="115"/>
      <c r="Q96" s="169"/>
      <c r="R96" s="169"/>
      <c r="S96" s="169"/>
      <c r="T96" s="169"/>
      <c r="U96" s="169"/>
      <c r="V96" s="169"/>
      <c r="W96" s="99"/>
      <c r="X96" s="96"/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17"/>
        <v>34</v>
      </c>
      <c r="AM96" s="117">
        <f t="shared" si="9"/>
        <v>25500000</v>
      </c>
      <c r="AN96" s="99"/>
    </row>
    <row r="97" spans="4:47">
      <c r="D97" s="2" t="s">
        <v>478</v>
      </c>
      <c r="E97" s="3">
        <v>1083333</v>
      </c>
      <c r="Q97" s="99"/>
      <c r="R97" s="99"/>
      <c r="S97" s="99"/>
      <c r="T97" s="99" t="s">
        <v>25</v>
      </c>
      <c r="U97" s="99"/>
      <c r="V97" s="99"/>
      <c r="W97" s="99"/>
      <c r="X97" s="96"/>
      <c r="Y97" t="s">
        <v>25</v>
      </c>
      <c r="AH97" s="99">
        <v>77</v>
      </c>
      <c r="AI97" s="113" t="s">
        <v>4525</v>
      </c>
      <c r="AJ97" s="113">
        <v>1900000</v>
      </c>
      <c r="AK97" s="99">
        <v>3</v>
      </c>
      <c r="AL97" s="99">
        <f t="shared" si="17"/>
        <v>30</v>
      </c>
      <c r="AM97" s="117">
        <f t="shared" si="9"/>
        <v>57000000</v>
      </c>
      <c r="AN97" s="99"/>
    </row>
    <row r="98" spans="4:47">
      <c r="D98" s="2"/>
      <c r="E98" s="3"/>
      <c r="H98" s="96"/>
      <c r="Q98" s="99"/>
      <c r="R98" s="99"/>
      <c r="S98" s="99"/>
      <c r="T98" s="99"/>
      <c r="U98" s="99"/>
      <c r="V98" s="99"/>
      <c r="W98" s="99"/>
      <c r="X98" s="96"/>
      <c r="AH98" s="99">
        <v>78</v>
      </c>
      <c r="AI98" s="113" t="s">
        <v>4539</v>
      </c>
      <c r="AJ98" s="113">
        <v>6400000</v>
      </c>
      <c r="AK98" s="99">
        <v>1</v>
      </c>
      <c r="AL98" s="99">
        <f t="shared" si="17"/>
        <v>27</v>
      </c>
      <c r="AM98" s="117">
        <f t="shared" si="9"/>
        <v>172800000</v>
      </c>
      <c r="AN98" s="99"/>
    </row>
    <row r="99" spans="4:47">
      <c r="D99" s="2"/>
      <c r="E99" s="3"/>
      <c r="Q99" s="99"/>
      <c r="R99" s="99"/>
      <c r="S99" s="99"/>
      <c r="T99" s="99"/>
      <c r="U99" s="99"/>
      <c r="V99" s="99"/>
      <c r="W99" s="99"/>
      <c r="X99" s="96"/>
      <c r="AH99" s="99">
        <v>79</v>
      </c>
      <c r="AI99" s="113" t="s">
        <v>4536</v>
      </c>
      <c r="AJ99" s="113">
        <v>5000</v>
      </c>
      <c r="AK99" s="99">
        <v>5</v>
      </c>
      <c r="AL99" s="99">
        <f t="shared" si="17"/>
        <v>26</v>
      </c>
      <c r="AM99" s="117">
        <f t="shared" si="9"/>
        <v>130000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K100" s="169" t="s">
        <v>4556</v>
      </c>
      <c r="L100" s="169" t="s">
        <v>4557</v>
      </c>
      <c r="M100" s="169" t="s">
        <v>4443</v>
      </c>
      <c r="N100" s="56" t="s">
        <v>190</v>
      </c>
      <c r="Q100" s="96"/>
      <c r="R100" s="96"/>
      <c r="S100" s="96"/>
      <c r="T100" s="96"/>
      <c r="V100" s="96"/>
      <c r="X100" s="115"/>
      <c r="Y100" t="s">
        <v>25</v>
      </c>
      <c r="AH100" s="99">
        <v>80</v>
      </c>
      <c r="AI100" s="113" t="s">
        <v>4571</v>
      </c>
      <c r="AJ100" s="113">
        <v>-1750148</v>
      </c>
      <c r="AK100" s="99">
        <v>1</v>
      </c>
      <c r="AL100" s="99">
        <f t="shared" si="17"/>
        <v>21</v>
      </c>
      <c r="AM100" s="117">
        <f t="shared" si="9"/>
        <v>-36753108</v>
      </c>
      <c r="AN100" s="99"/>
    </row>
    <row r="101" spans="4:47">
      <c r="D101" s="2" t="s">
        <v>328</v>
      </c>
      <c r="E101" s="3">
        <f>E100/30</f>
        <v>112777.76666666666</v>
      </c>
      <c r="K101" s="169" t="s">
        <v>4244</v>
      </c>
      <c r="L101" s="170">
        <v>1100000</v>
      </c>
      <c r="M101" s="170">
        <v>1637000</v>
      </c>
      <c r="N101" s="169">
        <f t="shared" ref="N101:N109" si="18">(M101-L101)*100/L101</f>
        <v>48.81818181818182</v>
      </c>
      <c r="Q101" s="96"/>
      <c r="R101" s="96"/>
      <c r="S101" s="96"/>
      <c r="T101" s="96"/>
      <c r="V101" s="96"/>
      <c r="AH101" s="99">
        <v>81</v>
      </c>
      <c r="AI101" s="113" t="s">
        <v>4577</v>
      </c>
      <c r="AJ101" s="113">
        <v>400000</v>
      </c>
      <c r="AK101" s="99">
        <v>0</v>
      </c>
      <c r="AL101" s="99">
        <f t="shared" si="17"/>
        <v>20</v>
      </c>
      <c r="AM101" s="117">
        <f t="shared" si="9"/>
        <v>8000000</v>
      </c>
      <c r="AN101" s="99"/>
    </row>
    <row r="102" spans="4:47">
      <c r="K102" s="5" t="s">
        <v>4551</v>
      </c>
      <c r="L102" s="170">
        <v>1100000</v>
      </c>
      <c r="M102" s="170">
        <v>4748000</v>
      </c>
      <c r="N102" s="169">
        <f t="shared" si="18"/>
        <v>331.63636363636363</v>
      </c>
      <c r="Q102" s="96"/>
      <c r="R102" s="96"/>
      <c r="S102" s="96"/>
      <c r="T102" s="96" t="s">
        <v>25</v>
      </c>
      <c r="V102" s="96"/>
      <c r="AH102" s="99">
        <v>82</v>
      </c>
      <c r="AI102" s="113" t="s">
        <v>4577</v>
      </c>
      <c r="AJ102" s="113">
        <v>-2105421</v>
      </c>
      <c r="AK102" s="99">
        <v>1</v>
      </c>
      <c r="AL102" s="99">
        <f t="shared" si="17"/>
        <v>20</v>
      </c>
      <c r="AM102" s="117">
        <f t="shared" si="9"/>
        <v>-42108420</v>
      </c>
      <c r="AN102" s="99"/>
      <c r="AO102" t="s">
        <v>25</v>
      </c>
    </row>
    <row r="103" spans="4:47">
      <c r="K103" s="5" t="s">
        <v>4552</v>
      </c>
      <c r="L103" s="170">
        <v>1100000</v>
      </c>
      <c r="M103" s="170">
        <v>5137000</v>
      </c>
      <c r="N103" s="169">
        <f t="shared" si="18"/>
        <v>367</v>
      </c>
      <c r="Q103" s="96"/>
      <c r="R103" s="96"/>
      <c r="S103" s="96"/>
      <c r="T103" s="96"/>
      <c r="V103" s="96"/>
      <c r="AH103" s="99">
        <v>83</v>
      </c>
      <c r="AI103" s="113" t="s">
        <v>4582</v>
      </c>
      <c r="AJ103" s="113">
        <v>-5527618</v>
      </c>
      <c r="AK103" s="99">
        <v>0</v>
      </c>
      <c r="AL103" s="99">
        <f t="shared" si="17"/>
        <v>19</v>
      </c>
      <c r="AM103" s="117">
        <f t="shared" si="9"/>
        <v>-105024742</v>
      </c>
      <c r="AN103" s="99"/>
    </row>
    <row r="104" spans="4:47">
      <c r="K104" s="19" t="s">
        <v>4397</v>
      </c>
      <c r="L104" s="170">
        <v>1100000</v>
      </c>
      <c r="M104" s="170">
        <v>4300000</v>
      </c>
      <c r="N104" s="169">
        <f t="shared" si="18"/>
        <v>290.90909090909093</v>
      </c>
      <c r="Q104" s="96"/>
      <c r="R104" s="96"/>
      <c r="S104" s="96"/>
      <c r="T104" s="99" t="s">
        <v>180</v>
      </c>
      <c r="U104" s="99" t="s">
        <v>4493</v>
      </c>
      <c r="V104" s="99" t="s">
        <v>4494</v>
      </c>
      <c r="W104" s="99" t="s">
        <v>4504</v>
      </c>
      <c r="X104" s="99" t="s">
        <v>8</v>
      </c>
      <c r="AH104" s="99">
        <v>84</v>
      </c>
      <c r="AI104" s="113" t="s">
        <v>4582</v>
      </c>
      <c r="AJ104" s="113">
        <v>3900000</v>
      </c>
      <c r="AK104" s="99">
        <v>3</v>
      </c>
      <c r="AL104" s="99">
        <f t="shared" si="17"/>
        <v>19</v>
      </c>
      <c r="AM104" s="117">
        <f t="shared" si="9"/>
        <v>74100000</v>
      </c>
      <c r="AN104" s="99"/>
    </row>
    <row r="105" spans="4:47">
      <c r="K105" s="5" t="s">
        <v>4416</v>
      </c>
      <c r="L105" s="170">
        <v>1100000</v>
      </c>
      <c r="M105" s="170">
        <v>3191000</v>
      </c>
      <c r="N105" s="169">
        <f t="shared" si="18"/>
        <v>190.09090909090909</v>
      </c>
      <c r="Q105" s="36" t="s">
        <v>4595</v>
      </c>
      <c r="R105" s="95">
        <f>SUM(N41:N50)</f>
        <v>218149694.89999998</v>
      </c>
      <c r="T105" s="113" t="s">
        <v>4469</v>
      </c>
      <c r="U105" s="56">
        <v>1000000</v>
      </c>
      <c r="V105" s="113">
        <v>239.024</v>
      </c>
      <c r="W105" s="113">
        <f t="shared" ref="W105:W116" si="19">U105*V105</f>
        <v>239024000</v>
      </c>
      <c r="X105" s="99"/>
      <c r="AH105" s="99">
        <v>85</v>
      </c>
      <c r="AI105" s="113" t="s">
        <v>4584</v>
      </c>
      <c r="AJ105" s="113">
        <v>-3969754</v>
      </c>
      <c r="AK105" s="99">
        <v>1</v>
      </c>
      <c r="AL105" s="99">
        <f t="shared" si="17"/>
        <v>16</v>
      </c>
      <c r="AM105" s="117">
        <f t="shared" si="9"/>
        <v>-63516064</v>
      </c>
      <c r="AN105" s="99"/>
    </row>
    <row r="106" spans="4:47">
      <c r="K106" s="5" t="s">
        <v>4553</v>
      </c>
      <c r="L106" s="170">
        <v>1100000</v>
      </c>
      <c r="M106" s="170">
        <v>5623000</v>
      </c>
      <c r="N106" s="169">
        <f t="shared" si="18"/>
        <v>411.18181818181819</v>
      </c>
      <c r="Q106" s="99" t="s">
        <v>4460</v>
      </c>
      <c r="R106" s="95">
        <f>SUM(N21:N24)</f>
        <v>24959157.399999999</v>
      </c>
      <c r="T106" s="169" t="s">
        <v>4451</v>
      </c>
      <c r="U106" s="56">
        <v>5904</v>
      </c>
      <c r="V106" s="113">
        <v>237.148</v>
      </c>
      <c r="W106" s="113">
        <f t="shared" si="19"/>
        <v>1400121.7919999999</v>
      </c>
      <c r="X106" s="99" t="s">
        <v>751</v>
      </c>
      <c r="AH106" s="99">
        <v>86</v>
      </c>
      <c r="AI106" s="113" t="s">
        <v>4597</v>
      </c>
      <c r="AJ106" s="113">
        <v>-25574455</v>
      </c>
      <c r="AK106" s="99">
        <v>0</v>
      </c>
      <c r="AL106" s="99">
        <f t="shared" si="17"/>
        <v>15</v>
      </c>
      <c r="AM106" s="117">
        <f t="shared" si="9"/>
        <v>-383616825</v>
      </c>
      <c r="AN106" s="99"/>
      <c r="AP106" t="s">
        <v>25</v>
      </c>
    </row>
    <row r="107" spans="4:47">
      <c r="K107" s="19" t="s">
        <v>4401</v>
      </c>
      <c r="L107" s="170">
        <v>1100000</v>
      </c>
      <c r="M107" s="170">
        <v>7728000</v>
      </c>
      <c r="N107" s="169">
        <f t="shared" si="18"/>
        <v>602.5454545454545</v>
      </c>
      <c r="Q107" s="99" t="s">
        <v>4461</v>
      </c>
      <c r="R107" s="95">
        <f>SUM(N27:N28)</f>
        <v>2897652.9</v>
      </c>
      <c r="T107" s="169" t="s">
        <v>4233</v>
      </c>
      <c r="U107" s="169">
        <v>1000</v>
      </c>
      <c r="V107" s="113">
        <v>247.393</v>
      </c>
      <c r="W107" s="113">
        <f t="shared" si="19"/>
        <v>247393</v>
      </c>
      <c r="X107" s="99" t="s">
        <v>751</v>
      </c>
      <c r="AH107" s="99">
        <v>87</v>
      </c>
      <c r="AI107" s="113" t="s">
        <v>4597</v>
      </c>
      <c r="AJ107" s="113">
        <v>4000000</v>
      </c>
      <c r="AK107" s="99">
        <v>1</v>
      </c>
      <c r="AL107" s="99">
        <f t="shared" si="17"/>
        <v>15</v>
      </c>
      <c r="AM107" s="117">
        <f t="shared" si="9"/>
        <v>60000000</v>
      </c>
      <c r="AN107" s="99"/>
    </row>
    <row r="108" spans="4:47">
      <c r="K108" s="5" t="s">
        <v>4555</v>
      </c>
      <c r="L108" s="170">
        <v>1100000</v>
      </c>
      <c r="M108" s="170">
        <v>2904000</v>
      </c>
      <c r="N108" s="169">
        <f t="shared" si="18"/>
        <v>164</v>
      </c>
      <c r="Q108" s="99" t="s">
        <v>4462</v>
      </c>
      <c r="R108" s="95">
        <f>N39</f>
        <v>11725507</v>
      </c>
      <c r="T108" s="169" t="s">
        <v>4506</v>
      </c>
      <c r="U108" s="169">
        <v>8071</v>
      </c>
      <c r="V108" s="113">
        <v>247.797</v>
      </c>
      <c r="W108" s="113">
        <f t="shared" si="19"/>
        <v>1999969.5870000001</v>
      </c>
      <c r="X108" s="99" t="s">
        <v>4458</v>
      </c>
      <c r="AH108" s="99">
        <v>88</v>
      </c>
      <c r="AI108" s="113" t="s">
        <v>994</v>
      </c>
      <c r="AJ108" s="113">
        <v>-5000000</v>
      </c>
      <c r="AK108" s="99">
        <v>2</v>
      </c>
      <c r="AL108" s="99">
        <f t="shared" si="17"/>
        <v>14</v>
      </c>
      <c r="AM108" s="117">
        <f t="shared" si="9"/>
        <v>-70000000</v>
      </c>
      <c r="AN108" s="99"/>
    </row>
    <row r="109" spans="4:47">
      <c r="K109" s="56" t="s">
        <v>1086</v>
      </c>
      <c r="L109" s="170">
        <v>1100000</v>
      </c>
      <c r="M109" s="170">
        <v>3400000</v>
      </c>
      <c r="N109" s="169">
        <f t="shared" si="18"/>
        <v>209.09090909090909</v>
      </c>
      <c r="Q109" s="99" t="s">
        <v>4463</v>
      </c>
      <c r="R109" s="95">
        <f>N20</f>
        <v>168853</v>
      </c>
      <c r="T109" s="169" t="s">
        <v>4506</v>
      </c>
      <c r="U109" s="169">
        <v>53672</v>
      </c>
      <c r="V109" s="113">
        <v>247.797</v>
      </c>
      <c r="W109" s="113">
        <f t="shared" si="19"/>
        <v>13299760.584000001</v>
      </c>
      <c r="X109" s="99" t="s">
        <v>452</v>
      </c>
      <c r="AD109" s="96"/>
      <c r="AE109"/>
      <c r="AF109"/>
      <c r="AH109" s="99">
        <v>89</v>
      </c>
      <c r="AI109" s="113" t="s">
        <v>4609</v>
      </c>
      <c r="AJ109" s="113">
        <v>10000000</v>
      </c>
      <c r="AK109" s="99">
        <v>4</v>
      </c>
      <c r="AL109" s="99">
        <f t="shared" si="17"/>
        <v>12</v>
      </c>
      <c r="AM109" s="117">
        <f t="shared" si="9"/>
        <v>120000000</v>
      </c>
      <c r="AN109" s="99"/>
    </row>
    <row r="110" spans="4:47">
      <c r="K110" s="210" t="s">
        <v>4592</v>
      </c>
      <c r="Q110" s="99" t="s">
        <v>4464</v>
      </c>
      <c r="R110" s="95">
        <f>N26</f>
        <v>168853</v>
      </c>
      <c r="T110" s="169" t="s">
        <v>4516</v>
      </c>
      <c r="U110" s="169">
        <v>4099</v>
      </c>
      <c r="V110" s="113">
        <v>243.93</v>
      </c>
      <c r="W110" s="113">
        <f t="shared" si="19"/>
        <v>999869.07000000007</v>
      </c>
      <c r="X110" s="99" t="s">
        <v>4458</v>
      </c>
      <c r="AH110" s="99">
        <v>90</v>
      </c>
      <c r="AI110" s="113" t="s">
        <v>4611</v>
      </c>
      <c r="AJ110" s="113">
        <v>-5241937</v>
      </c>
      <c r="AK110" s="99">
        <v>0</v>
      </c>
      <c r="AL110" s="99">
        <f t="shared" si="17"/>
        <v>8</v>
      </c>
      <c r="AM110" s="117">
        <f t="shared" si="9"/>
        <v>-41935496</v>
      </c>
      <c r="AN110" s="99"/>
    </row>
    <row r="111" spans="4:47">
      <c r="K111" s="210" t="s">
        <v>4593</v>
      </c>
      <c r="P111" s="114"/>
      <c r="Q111" s="99" t="s">
        <v>4476</v>
      </c>
      <c r="R111" s="95">
        <v>8403068</v>
      </c>
      <c r="T111" s="169" t="s">
        <v>4516</v>
      </c>
      <c r="U111" s="169">
        <v>9301</v>
      </c>
      <c r="V111" s="113">
        <v>243.93</v>
      </c>
      <c r="W111" s="113">
        <f t="shared" si="19"/>
        <v>2268792.9300000002</v>
      </c>
      <c r="X111" s="99" t="s">
        <v>452</v>
      </c>
      <c r="AH111" s="99">
        <v>91</v>
      </c>
      <c r="AI111" s="113" t="s">
        <v>4611</v>
      </c>
      <c r="AJ111" s="113">
        <v>21900000</v>
      </c>
      <c r="AK111" s="99">
        <v>2</v>
      </c>
      <c r="AL111" s="99">
        <f t="shared" si="17"/>
        <v>8</v>
      </c>
      <c r="AM111" s="117">
        <f t="shared" si="9"/>
        <v>175200000</v>
      </c>
      <c r="AN111" s="99"/>
      <c r="AP111" t="s">
        <v>25</v>
      </c>
      <c r="AR111" s="96"/>
      <c r="AS111" s="96"/>
      <c r="AT111"/>
      <c r="AU111"/>
    </row>
    <row r="112" spans="4:47">
      <c r="K112" s="210" t="s">
        <v>4594</v>
      </c>
      <c r="Q112" s="99" t="s">
        <v>4583</v>
      </c>
      <c r="R112" s="95">
        <v>4127376</v>
      </c>
      <c r="T112" s="169" t="s">
        <v>4524</v>
      </c>
      <c r="U112" s="169">
        <v>8334</v>
      </c>
      <c r="V112" s="113">
        <v>239.97</v>
      </c>
      <c r="W112" s="113">
        <f t="shared" si="19"/>
        <v>1999909.98</v>
      </c>
      <c r="X112" s="99" t="s">
        <v>4458</v>
      </c>
      <c r="AH112" s="99">
        <v>92</v>
      </c>
      <c r="AI112" s="113" t="s">
        <v>4622</v>
      </c>
      <c r="AJ112" s="113">
        <v>-15000000</v>
      </c>
      <c r="AK112" s="99">
        <v>0</v>
      </c>
      <c r="AL112" s="99">
        <f t="shared" si="17"/>
        <v>6</v>
      </c>
      <c r="AM112" s="117">
        <f t="shared" si="9"/>
        <v>-90000000</v>
      </c>
      <c r="AN112" s="99"/>
      <c r="AO112" t="s">
        <v>25</v>
      </c>
    </row>
    <row r="113" spans="17:43">
      <c r="Q113" s="99" t="s">
        <v>4618</v>
      </c>
      <c r="R113" s="95">
        <v>38700</v>
      </c>
      <c r="T113" s="169" t="s">
        <v>4232</v>
      </c>
      <c r="U113" s="169">
        <v>29041</v>
      </c>
      <c r="V113" s="113">
        <v>233.45</v>
      </c>
      <c r="W113" s="113">
        <f t="shared" si="19"/>
        <v>6779621.4499999993</v>
      </c>
      <c r="X113" s="99" t="s">
        <v>751</v>
      </c>
      <c r="AH113" s="99">
        <v>93</v>
      </c>
      <c r="AI113" s="113" t="s">
        <v>4622</v>
      </c>
      <c r="AJ113" s="113">
        <v>3000000</v>
      </c>
      <c r="AK113" s="99">
        <v>1</v>
      </c>
      <c r="AL113" s="99">
        <f t="shared" si="17"/>
        <v>6</v>
      </c>
      <c r="AM113" s="117">
        <f t="shared" si="9"/>
        <v>18000000</v>
      </c>
      <c r="AN113" s="99"/>
    </row>
    <row r="114" spans="17:43">
      <c r="Q114" s="99" t="s">
        <v>4468</v>
      </c>
      <c r="R114" s="95">
        <f>SUM(R105:R113)</f>
        <v>270638862.19999999</v>
      </c>
      <c r="S114" s="115"/>
      <c r="T114" s="169" t="s">
        <v>994</v>
      </c>
      <c r="U114" s="169">
        <v>12337</v>
      </c>
      <c r="V114" s="113">
        <v>243.16300000000001</v>
      </c>
      <c r="W114" s="113">
        <f t="shared" si="19"/>
        <v>2999901.9310000003</v>
      </c>
      <c r="X114" s="99" t="s">
        <v>4458</v>
      </c>
      <c r="AH114" s="99">
        <v>94</v>
      </c>
      <c r="AI114" s="113" t="s">
        <v>4626</v>
      </c>
      <c r="AJ114" s="113">
        <v>-2103736</v>
      </c>
      <c r="AK114" s="99">
        <v>0</v>
      </c>
      <c r="AL114" s="99">
        <f t="shared" si="17"/>
        <v>5</v>
      </c>
      <c r="AM114" s="117">
        <f t="shared" si="9"/>
        <v>-10518680</v>
      </c>
      <c r="AN114" s="99"/>
    </row>
    <row r="115" spans="17:43">
      <c r="Q115" s="96"/>
      <c r="S115" s="122"/>
      <c r="T115" s="169" t="s">
        <v>4626</v>
      </c>
      <c r="U115" s="169">
        <v>-16118</v>
      </c>
      <c r="V115" s="113">
        <v>248.17</v>
      </c>
      <c r="W115" s="113">
        <f t="shared" si="19"/>
        <v>-4000004.0599999996</v>
      </c>
      <c r="X115" s="99" t="s">
        <v>751</v>
      </c>
      <c r="AH115" s="99">
        <v>95</v>
      </c>
      <c r="AI115" s="113" t="s">
        <v>4626</v>
      </c>
      <c r="AJ115" s="113">
        <v>220000</v>
      </c>
      <c r="AK115" s="99">
        <v>3</v>
      </c>
      <c r="AL115" s="99">
        <f t="shared" si="17"/>
        <v>5</v>
      </c>
      <c r="AM115" s="117">
        <f t="shared" si="9"/>
        <v>1100000</v>
      </c>
      <c r="AN115" s="99"/>
      <c r="AQ115" t="s">
        <v>25</v>
      </c>
    </row>
    <row r="116" spans="17:43">
      <c r="Q116" s="96"/>
      <c r="R116" s="184"/>
      <c r="S116" s="115"/>
      <c r="T116" s="169"/>
      <c r="U116" s="169"/>
      <c r="V116" s="113"/>
      <c r="W116" s="113">
        <f t="shared" si="19"/>
        <v>0</v>
      </c>
      <c r="X116" s="99"/>
      <c r="AH116" s="99">
        <v>96</v>
      </c>
      <c r="AI116" s="113" t="s">
        <v>4636</v>
      </c>
      <c r="AJ116" s="113">
        <v>4000000</v>
      </c>
      <c r="AK116" s="99">
        <v>1</v>
      </c>
      <c r="AL116" s="99">
        <f t="shared" si="17"/>
        <v>2</v>
      </c>
      <c r="AM116" s="117">
        <f t="shared" si="9"/>
        <v>8000000</v>
      </c>
      <c r="AN116" s="99"/>
    </row>
    <row r="117" spans="17:43">
      <c r="Q117" s="96"/>
      <c r="R117" s="184"/>
      <c r="S117" s="115"/>
      <c r="T117" s="169"/>
      <c r="U117" s="169">
        <f>SUM(U105:U116)</f>
        <v>1115641</v>
      </c>
      <c r="V117" s="99"/>
      <c r="W117" s="99"/>
      <c r="X117" s="99"/>
      <c r="AH117" s="99">
        <v>97</v>
      </c>
      <c r="AI117" s="113" t="s">
        <v>4643</v>
      </c>
      <c r="AJ117" s="113">
        <v>-9000000</v>
      </c>
      <c r="AK117" s="99">
        <v>0</v>
      </c>
      <c r="AL117" s="99">
        <f t="shared" si="17"/>
        <v>1</v>
      </c>
      <c r="AM117" s="117">
        <f t="shared" si="9"/>
        <v>-9000000</v>
      </c>
      <c r="AN117" s="99"/>
      <c r="AP117" t="s">
        <v>25</v>
      </c>
    </row>
    <row r="118" spans="17:43">
      <c r="Q118" s="96"/>
      <c r="R118" s="115"/>
      <c r="T118" s="99"/>
      <c r="U118" s="99" t="s">
        <v>6</v>
      </c>
      <c r="V118" s="99"/>
      <c r="W118" s="99"/>
      <c r="X118" s="99"/>
      <c r="AH118" s="99">
        <v>98</v>
      </c>
      <c r="AI118" s="113" t="s">
        <v>4643</v>
      </c>
      <c r="AJ118" s="113">
        <v>13900000</v>
      </c>
      <c r="AK118" s="99">
        <v>1</v>
      </c>
      <c r="AL118" s="99">
        <f t="shared" si="17"/>
        <v>1</v>
      </c>
      <c r="AM118" s="117">
        <f t="shared" si="9"/>
        <v>13900000</v>
      </c>
      <c r="AN118" s="99"/>
    </row>
    <row r="119" spans="17:43">
      <c r="T119" s="204" t="s">
        <v>4495</v>
      </c>
      <c r="AH119" s="99"/>
      <c r="AI119" s="113"/>
      <c r="AJ119" s="113"/>
      <c r="AK119" s="99"/>
      <c r="AL119" s="99">
        <f t="shared" si="17"/>
        <v>0</v>
      </c>
      <c r="AM119" s="117">
        <f t="shared" si="9"/>
        <v>0</v>
      </c>
      <c r="AN119" s="99"/>
    </row>
    <row r="120" spans="17:43">
      <c r="Q120" s="99" t="s">
        <v>4458</v>
      </c>
      <c r="R120" s="99"/>
      <c r="T120" s="203">
        <f>R114/U117</f>
        <v>242.58597720951451</v>
      </c>
      <c r="AH120" s="99"/>
      <c r="AI120" s="113"/>
      <c r="AJ120" s="113"/>
      <c r="AK120" s="99"/>
      <c r="AL120" s="99">
        <f t="shared" si="17"/>
        <v>0</v>
      </c>
      <c r="AM120" s="117">
        <f t="shared" si="9"/>
        <v>0</v>
      </c>
      <c r="AN120" s="99"/>
      <c r="AO120" t="s">
        <v>25</v>
      </c>
      <c r="AP120" t="s">
        <v>25</v>
      </c>
    </row>
    <row r="121" spans="17:43">
      <c r="Q121" s="36" t="s">
        <v>180</v>
      </c>
      <c r="R121" s="99" t="s">
        <v>267</v>
      </c>
      <c r="W121" s="114"/>
      <c r="AH121" s="99"/>
      <c r="AI121" s="113"/>
      <c r="AJ121" s="113"/>
      <c r="AK121" s="99"/>
      <c r="AL121" s="99">
        <f t="shared" si="17"/>
        <v>0</v>
      </c>
      <c r="AM121" s="117">
        <f t="shared" si="9"/>
        <v>0</v>
      </c>
      <c r="AN121" s="99"/>
      <c r="AP121" t="s">
        <v>25</v>
      </c>
    </row>
    <row r="122" spans="17:43">
      <c r="Q122" s="99" t="s">
        <v>4451</v>
      </c>
      <c r="R122" s="95">
        <v>3000000</v>
      </c>
      <c r="U122" s="96" t="s">
        <v>267</v>
      </c>
      <c r="V122" t="s">
        <v>4496</v>
      </c>
      <c r="AH122" s="99" t="s">
        <v>25</v>
      </c>
      <c r="AI122" s="113"/>
      <c r="AJ122" s="113"/>
      <c r="AK122" s="99"/>
      <c r="AL122" s="99">
        <f t="shared" si="17"/>
        <v>0</v>
      </c>
      <c r="AM122" s="117">
        <f t="shared" si="9"/>
        <v>0</v>
      </c>
      <c r="AN122" s="99"/>
      <c r="AQ122" t="s">
        <v>25</v>
      </c>
    </row>
    <row r="123" spans="17:43">
      <c r="Q123" s="99" t="s">
        <v>4506</v>
      </c>
      <c r="R123" s="95">
        <v>2000000</v>
      </c>
      <c r="U123" s="113">
        <v>4000000</v>
      </c>
      <c r="V123">
        <f>U123/T120</f>
        <v>16488.999265383405</v>
      </c>
      <c r="X123" t="s">
        <v>25</v>
      </c>
      <c r="AH123" s="99"/>
      <c r="AI123" s="113"/>
      <c r="AJ123" s="113"/>
      <c r="AK123" s="99"/>
      <c r="AL123" s="99">
        <f t="shared" si="17"/>
        <v>0</v>
      </c>
      <c r="AM123" s="117">
        <f t="shared" si="9"/>
        <v>0</v>
      </c>
      <c r="AN123" s="99"/>
    </row>
    <row r="124" spans="17:43">
      <c r="Q124" s="99" t="s">
        <v>4516</v>
      </c>
      <c r="R124" s="95">
        <v>1000000</v>
      </c>
      <c r="X124" t="s">
        <v>25</v>
      </c>
      <c r="Y124" t="s">
        <v>25</v>
      </c>
      <c r="AH124" s="99"/>
      <c r="AI124" s="99"/>
      <c r="AJ124" s="95">
        <f>SUM(AJ20:AJ123)</f>
        <v>219636031</v>
      </c>
      <c r="AK124" s="99"/>
      <c r="AL124" s="99"/>
      <c r="AM124" s="95">
        <f>SUM(AM20:AM123)</f>
        <v>31606768402</v>
      </c>
      <c r="AN124" s="95">
        <f>AM124*AN127/31</f>
        <v>20391463.48516129</v>
      </c>
    </row>
    <row r="125" spans="17:43">
      <c r="Q125" s="99" t="s">
        <v>4524</v>
      </c>
      <c r="R125" s="95">
        <v>2000000</v>
      </c>
      <c r="AH125" s="99"/>
      <c r="AI125" s="99"/>
      <c r="AJ125" s="99" t="s">
        <v>4060</v>
      </c>
      <c r="AK125" s="99"/>
      <c r="AL125" s="99"/>
      <c r="AM125" s="99" t="s">
        <v>284</v>
      </c>
      <c r="AN125" s="99" t="s">
        <v>943</v>
      </c>
    </row>
    <row r="126" spans="17:43">
      <c r="Q126" s="99" t="s">
        <v>994</v>
      </c>
      <c r="R126" s="95">
        <v>3000000</v>
      </c>
      <c r="AH126" s="99"/>
      <c r="AI126" s="99"/>
      <c r="AJ126" s="99"/>
      <c r="AK126" s="99"/>
      <c r="AL126" s="99"/>
      <c r="AM126" s="99"/>
      <c r="AN126" s="99"/>
    </row>
    <row r="127" spans="17:43">
      <c r="Q127" s="99"/>
      <c r="R127" s="95"/>
      <c r="AH127" s="99"/>
      <c r="AI127" s="99"/>
      <c r="AJ127" s="99"/>
      <c r="AK127" s="99"/>
      <c r="AL127" s="99"/>
      <c r="AM127" s="99" t="s">
        <v>4061</v>
      </c>
      <c r="AN127" s="99">
        <v>0.02</v>
      </c>
    </row>
    <row r="128" spans="17:43" ht="60">
      <c r="Q128" s="99"/>
      <c r="R128" s="95">
        <f>SUM(R122:R126)</f>
        <v>11000000</v>
      </c>
      <c r="T128" s="22" t="s">
        <v>4479</v>
      </c>
      <c r="AH128" s="99"/>
      <c r="AI128" s="99"/>
      <c r="AJ128" s="99"/>
      <c r="AK128" s="99"/>
      <c r="AL128" s="99"/>
      <c r="AM128" s="99"/>
      <c r="AN128" s="99"/>
    </row>
    <row r="129" spans="17:40" ht="45">
      <c r="Q129" s="99"/>
      <c r="R129" s="99" t="s">
        <v>6</v>
      </c>
      <c r="T129" s="22" t="s">
        <v>4480</v>
      </c>
      <c r="AH129" s="99"/>
      <c r="AI129" s="99" t="s">
        <v>4062</v>
      </c>
      <c r="AJ129" s="95">
        <f>AJ124+AN124</f>
        <v>240027494.4851613</v>
      </c>
      <c r="AK129" s="99"/>
      <c r="AL129" s="99"/>
      <c r="AM129" s="99"/>
      <c r="AN129" s="99"/>
    </row>
    <row r="130" spans="17:40">
      <c r="AI130" t="s">
        <v>4065</v>
      </c>
      <c r="AJ130" s="114">
        <f>SUM(N39:N50)</f>
        <v>229875201.89999998</v>
      </c>
    </row>
    <row r="131" spans="17:40">
      <c r="Q131" s="96"/>
      <c r="R131" s="96"/>
      <c r="AI131" t="s">
        <v>4137</v>
      </c>
      <c r="AJ131" s="114">
        <f>AJ130-AJ124</f>
        <v>10239170.899999976</v>
      </c>
      <c r="AM131" t="s">
        <v>25</v>
      </c>
    </row>
    <row r="132" spans="17:40">
      <c r="Q132" s="96"/>
      <c r="R132" s="96"/>
      <c r="T132" s="99" t="s">
        <v>4497</v>
      </c>
      <c r="U132" s="99" t="s">
        <v>4468</v>
      </c>
      <c r="V132" s="99" t="s">
        <v>953</v>
      </c>
      <c r="AI132" t="s">
        <v>943</v>
      </c>
      <c r="AJ132" s="114">
        <f>AN124</f>
        <v>20391463.48516129</v>
      </c>
    </row>
    <row r="133" spans="17:40">
      <c r="T133" s="95">
        <f>R128+R141+R150</f>
        <v>271019393</v>
      </c>
      <c r="U133" s="95">
        <f>R114</f>
        <v>270638862.19999999</v>
      </c>
      <c r="V133" s="95">
        <f>U133-T133</f>
        <v>-380530.80000001192</v>
      </c>
      <c r="AI133" t="s">
        <v>4066</v>
      </c>
      <c r="AJ133" s="114">
        <f>AJ130-AJ129</f>
        <v>-10152292.585161328</v>
      </c>
    </row>
    <row r="134" spans="17:40">
      <c r="Q134" s="99" t="s">
        <v>751</v>
      </c>
      <c r="R134" s="99"/>
      <c r="AM134" t="s">
        <v>25</v>
      </c>
    </row>
    <row r="135" spans="17:40">
      <c r="Q135" s="99" t="s">
        <v>4451</v>
      </c>
      <c r="R135" s="95">
        <v>172908000</v>
      </c>
      <c r="AJ135" t="s">
        <v>25</v>
      </c>
    </row>
    <row r="136" spans="17:40">
      <c r="Q136" s="99" t="s">
        <v>4492</v>
      </c>
      <c r="R136" s="95">
        <v>1400000</v>
      </c>
      <c r="Y136" t="s">
        <v>25</v>
      </c>
    </row>
    <row r="137" spans="17:40">
      <c r="Q137" s="99" t="s">
        <v>4233</v>
      </c>
      <c r="R137" s="95">
        <v>247393</v>
      </c>
    </row>
    <row r="138" spans="17:40">
      <c r="Q138" s="99" t="s">
        <v>4232</v>
      </c>
      <c r="R138" s="95">
        <v>6780000</v>
      </c>
    </row>
    <row r="139" spans="17:40">
      <c r="Q139" s="99"/>
      <c r="R139" s="95"/>
    </row>
    <row r="140" spans="17:40">
      <c r="Q140" s="99"/>
      <c r="R140" s="95"/>
      <c r="AH140" s="99" t="s">
        <v>3642</v>
      </c>
      <c r="AI140" s="99" t="s">
        <v>180</v>
      </c>
      <c r="AJ140" s="99" t="s">
        <v>267</v>
      </c>
      <c r="AK140" s="99" t="s">
        <v>4059</v>
      </c>
      <c r="AL140" s="99" t="s">
        <v>4051</v>
      </c>
      <c r="AM140" s="99" t="s">
        <v>282</v>
      </c>
      <c r="AN140" s="99" t="s">
        <v>4294</v>
      </c>
    </row>
    <row r="141" spans="17:40">
      <c r="Q141" s="99"/>
      <c r="R141" s="95">
        <f>SUM(R135:R139)</f>
        <v>181335393</v>
      </c>
      <c r="AH141" s="99">
        <v>1</v>
      </c>
      <c r="AI141" s="99" t="s">
        <v>3950</v>
      </c>
      <c r="AJ141" s="117">
        <v>3555820</v>
      </c>
      <c r="AK141" s="99">
        <v>2</v>
      </c>
      <c r="AL141" s="99">
        <f>AK141+AL142</f>
        <v>178</v>
      </c>
      <c r="AM141" s="99">
        <f>AJ141*AL141</f>
        <v>632935960</v>
      </c>
      <c r="AN141" s="99" t="s">
        <v>4317</v>
      </c>
    </row>
    <row r="142" spans="17:40">
      <c r="Q142" s="99"/>
      <c r="R142" s="99" t="s">
        <v>6</v>
      </c>
      <c r="AH142" s="99">
        <v>2</v>
      </c>
      <c r="AI142" s="99" t="s">
        <v>4025</v>
      </c>
      <c r="AJ142" s="117">
        <v>1720837</v>
      </c>
      <c r="AK142" s="99">
        <v>51</v>
      </c>
      <c r="AL142" s="99">
        <f t="shared" ref="AL142:AL151" si="20">AK142+AL143</f>
        <v>176</v>
      </c>
      <c r="AM142" s="99">
        <f t="shared" ref="AM142:AM169" si="21">AJ142*AL142</f>
        <v>302867312</v>
      </c>
      <c r="AN142" s="99" t="s">
        <v>4318</v>
      </c>
    </row>
    <row r="143" spans="17:40">
      <c r="AH143" s="99">
        <v>3</v>
      </c>
      <c r="AI143" s="99" t="s">
        <v>4131</v>
      </c>
      <c r="AJ143" s="117">
        <v>150000</v>
      </c>
      <c r="AK143" s="99">
        <v>3</v>
      </c>
      <c r="AL143" s="99">
        <f t="shared" si="20"/>
        <v>125</v>
      </c>
      <c r="AM143" s="99">
        <f t="shared" si="21"/>
        <v>18750000</v>
      </c>
      <c r="AN143" s="99"/>
    </row>
    <row r="144" spans="17:40">
      <c r="AH144" s="99">
        <v>4</v>
      </c>
      <c r="AI144" s="99" t="s">
        <v>4146</v>
      </c>
      <c r="AJ144" s="117">
        <v>-95000</v>
      </c>
      <c r="AK144" s="99">
        <v>8</v>
      </c>
      <c r="AL144" s="99">
        <f t="shared" si="20"/>
        <v>122</v>
      </c>
      <c r="AM144" s="99">
        <f t="shared" si="21"/>
        <v>-11590000</v>
      </c>
      <c r="AN144" s="99"/>
    </row>
    <row r="145" spans="17:44">
      <c r="Q145" s="99" t="s">
        <v>452</v>
      </c>
      <c r="R145" s="99"/>
      <c r="AH145" s="99">
        <v>5</v>
      </c>
      <c r="AI145" s="99" t="s">
        <v>4173</v>
      </c>
      <c r="AJ145" s="117">
        <v>3150000</v>
      </c>
      <c r="AK145" s="99">
        <v>16</v>
      </c>
      <c r="AL145" s="99">
        <f t="shared" si="20"/>
        <v>114</v>
      </c>
      <c r="AM145" s="99">
        <f t="shared" si="21"/>
        <v>359100000</v>
      </c>
      <c r="AN145" s="99"/>
    </row>
    <row r="146" spans="17:44">
      <c r="Q146" s="99" t="s">
        <v>4451</v>
      </c>
      <c r="R146" s="95">
        <v>63115000</v>
      </c>
      <c r="AH146" s="99">
        <v>6</v>
      </c>
      <c r="AI146" s="99" t="s">
        <v>4242</v>
      </c>
      <c r="AJ146" s="117">
        <v>-65000</v>
      </c>
      <c r="AK146" s="99">
        <v>1</v>
      </c>
      <c r="AL146" s="99">
        <f t="shared" si="20"/>
        <v>98</v>
      </c>
      <c r="AM146" s="99">
        <f t="shared" si="21"/>
        <v>-6370000</v>
      </c>
      <c r="AN146" s="99"/>
      <c r="AR146" t="s">
        <v>25</v>
      </c>
    </row>
    <row r="147" spans="17:44">
      <c r="Q147" s="99" t="s">
        <v>4506</v>
      </c>
      <c r="R147" s="95">
        <v>13300000</v>
      </c>
      <c r="AH147" s="99">
        <v>7</v>
      </c>
      <c r="AI147" s="99" t="s">
        <v>4319</v>
      </c>
      <c r="AJ147" s="117">
        <v>-95000</v>
      </c>
      <c r="AK147" s="99">
        <v>6</v>
      </c>
      <c r="AL147" s="99">
        <f t="shared" si="20"/>
        <v>97</v>
      </c>
      <c r="AM147" s="99">
        <f t="shared" si="21"/>
        <v>-9215000</v>
      </c>
      <c r="AN147" s="99"/>
    </row>
    <row r="148" spans="17:44">
      <c r="Q148" s="99" t="s">
        <v>4516</v>
      </c>
      <c r="R148" s="95">
        <v>2269000</v>
      </c>
      <c r="AH148" s="99">
        <v>8</v>
      </c>
      <c r="AI148" s="99" t="s">
        <v>4320</v>
      </c>
      <c r="AJ148" s="117">
        <v>232000</v>
      </c>
      <c r="AK148" s="99">
        <v>7</v>
      </c>
      <c r="AL148" s="99">
        <f t="shared" si="20"/>
        <v>91</v>
      </c>
      <c r="AM148" s="99">
        <f t="shared" si="21"/>
        <v>21112000</v>
      </c>
      <c r="AN148" s="99"/>
    </row>
    <row r="149" spans="17:44">
      <c r="Q149" s="99"/>
      <c r="R149" s="95"/>
      <c r="T149" t="s">
        <v>25</v>
      </c>
      <c r="AH149" s="99">
        <v>9</v>
      </c>
      <c r="AI149" s="99" t="s">
        <v>4293</v>
      </c>
      <c r="AJ149" s="117">
        <v>13000000</v>
      </c>
      <c r="AK149" s="99">
        <v>2</v>
      </c>
      <c r="AL149" s="99">
        <f t="shared" si="20"/>
        <v>84</v>
      </c>
      <c r="AM149" s="99">
        <f t="shared" si="21"/>
        <v>1092000000</v>
      </c>
      <c r="AN149" s="99"/>
    </row>
    <row r="150" spans="17:44">
      <c r="Q150" s="99"/>
      <c r="R150" s="95">
        <f>SUM(R146:R148)</f>
        <v>78684000</v>
      </c>
      <c r="AH150" s="99">
        <v>10</v>
      </c>
      <c r="AI150" s="99" t="s">
        <v>4321</v>
      </c>
      <c r="AJ150" s="117">
        <v>10000000</v>
      </c>
      <c r="AK150" s="99">
        <v>3</v>
      </c>
      <c r="AL150" s="99">
        <f t="shared" si="20"/>
        <v>82</v>
      </c>
      <c r="AM150" s="99">
        <f t="shared" si="21"/>
        <v>820000000</v>
      </c>
      <c r="AN150" s="99"/>
    </row>
    <row r="151" spans="17:44">
      <c r="Q151" s="99"/>
      <c r="R151" s="99" t="s">
        <v>6</v>
      </c>
      <c r="AH151" s="99">
        <v>11</v>
      </c>
      <c r="AI151" s="99" t="s">
        <v>4306</v>
      </c>
      <c r="AJ151" s="117">
        <v>3400000</v>
      </c>
      <c r="AK151" s="99">
        <v>9</v>
      </c>
      <c r="AL151" s="99">
        <f t="shared" si="20"/>
        <v>79</v>
      </c>
      <c r="AM151" s="99">
        <f t="shared" si="21"/>
        <v>268600000</v>
      </c>
      <c r="AN151" s="99"/>
    </row>
    <row r="152" spans="17:44">
      <c r="AH152" s="99">
        <v>12</v>
      </c>
      <c r="AI152" s="99" t="s">
        <v>4353</v>
      </c>
      <c r="AJ152" s="117">
        <v>-8736514</v>
      </c>
      <c r="AK152" s="99">
        <v>1</v>
      </c>
      <c r="AL152" s="99">
        <f>AK152+AL153</f>
        <v>70</v>
      </c>
      <c r="AM152" s="99">
        <f t="shared" si="21"/>
        <v>-611555980</v>
      </c>
      <c r="AN152" s="99"/>
    </row>
    <row r="153" spans="17:44">
      <c r="AH153" s="99">
        <v>13</v>
      </c>
      <c r="AI153" s="99" t="s">
        <v>4354</v>
      </c>
      <c r="AJ153" s="117">
        <v>555000</v>
      </c>
      <c r="AK153" s="99">
        <v>5</v>
      </c>
      <c r="AL153" s="99">
        <f t="shared" ref="AL153:AL169" si="22">AK153+AL154</f>
        <v>69</v>
      </c>
      <c r="AM153" s="99">
        <f t="shared" si="21"/>
        <v>38295000</v>
      </c>
      <c r="AN153" s="99"/>
    </row>
    <row r="154" spans="17:44">
      <c r="AH154" s="99">
        <v>14</v>
      </c>
      <c r="AI154" s="99" t="s">
        <v>4378</v>
      </c>
      <c r="AJ154" s="117">
        <v>-448308</v>
      </c>
      <c r="AK154" s="99">
        <v>6</v>
      </c>
      <c r="AL154" s="99">
        <f t="shared" si="22"/>
        <v>64</v>
      </c>
      <c r="AM154" s="99">
        <f t="shared" si="21"/>
        <v>-28691712</v>
      </c>
      <c r="AN154" s="99"/>
    </row>
    <row r="155" spans="17:44">
      <c r="AH155" s="99">
        <v>15</v>
      </c>
      <c r="AI155" s="99" t="s">
        <v>4410</v>
      </c>
      <c r="AJ155" s="117">
        <v>33225</v>
      </c>
      <c r="AK155" s="99">
        <v>0</v>
      </c>
      <c r="AL155" s="99">
        <f t="shared" si="22"/>
        <v>58</v>
      </c>
      <c r="AM155" s="99">
        <f t="shared" si="21"/>
        <v>1927050</v>
      </c>
      <c r="AN155" s="99"/>
    </row>
    <row r="156" spans="17:44">
      <c r="AH156" s="149">
        <v>16</v>
      </c>
      <c r="AI156" s="149" t="s">
        <v>4410</v>
      </c>
      <c r="AJ156" s="191">
        <v>4098523</v>
      </c>
      <c r="AK156" s="149">
        <v>2</v>
      </c>
      <c r="AL156" s="149">
        <f t="shared" si="22"/>
        <v>58</v>
      </c>
      <c r="AM156" s="149">
        <f t="shared" si="21"/>
        <v>237714334</v>
      </c>
      <c r="AN156" s="149" t="s">
        <v>657</v>
      </c>
    </row>
    <row r="157" spans="17:44">
      <c r="AH157" s="149">
        <v>17</v>
      </c>
      <c r="AI157" s="149" t="s">
        <v>4424</v>
      </c>
      <c r="AJ157" s="191">
        <v>-1000000</v>
      </c>
      <c r="AK157" s="149">
        <v>7</v>
      </c>
      <c r="AL157" s="149">
        <f t="shared" si="22"/>
        <v>56</v>
      </c>
      <c r="AM157" s="149">
        <f t="shared" si="21"/>
        <v>-56000000</v>
      </c>
      <c r="AN157" s="149" t="s">
        <v>657</v>
      </c>
    </row>
    <row r="158" spans="17:44">
      <c r="AH158" s="149">
        <v>18</v>
      </c>
      <c r="AI158" s="149" t="s">
        <v>4447</v>
      </c>
      <c r="AJ158" s="191">
        <v>750000</v>
      </c>
      <c r="AK158" s="149">
        <v>1</v>
      </c>
      <c r="AL158" s="149">
        <f t="shared" si="22"/>
        <v>49</v>
      </c>
      <c r="AM158" s="149">
        <f t="shared" si="21"/>
        <v>36750000</v>
      </c>
      <c r="AN158" s="149" t="s">
        <v>657</v>
      </c>
    </row>
    <row r="159" spans="17:44">
      <c r="AH159" s="199">
        <v>19</v>
      </c>
      <c r="AI159" s="199" t="s">
        <v>4449</v>
      </c>
      <c r="AJ159" s="200">
        <v>-604152</v>
      </c>
      <c r="AK159" s="199">
        <v>0</v>
      </c>
      <c r="AL159" s="199">
        <f t="shared" si="22"/>
        <v>48</v>
      </c>
      <c r="AM159" s="199">
        <f t="shared" si="21"/>
        <v>-28999296</v>
      </c>
      <c r="AN159" s="199" t="s">
        <v>657</v>
      </c>
    </row>
    <row r="160" spans="17:44">
      <c r="AH160" s="99">
        <v>20</v>
      </c>
      <c r="AI160" s="99" t="s">
        <v>4450</v>
      </c>
      <c r="AJ160" s="117">
        <v>-587083</v>
      </c>
      <c r="AK160" s="99">
        <v>4</v>
      </c>
      <c r="AL160" s="99">
        <f t="shared" si="22"/>
        <v>48</v>
      </c>
      <c r="AM160" s="99">
        <f t="shared" si="21"/>
        <v>-28179984</v>
      </c>
      <c r="AN160" s="99"/>
    </row>
    <row r="161" spans="34:40">
      <c r="AH161" s="199">
        <v>21</v>
      </c>
      <c r="AI161" s="199" t="s">
        <v>4451</v>
      </c>
      <c r="AJ161" s="200">
        <v>-754351</v>
      </c>
      <c r="AK161" s="199">
        <v>0</v>
      </c>
      <c r="AL161" s="149">
        <f t="shared" si="22"/>
        <v>44</v>
      </c>
      <c r="AM161" s="199">
        <f t="shared" si="21"/>
        <v>-33191444</v>
      </c>
      <c r="AN161" s="199" t="s">
        <v>657</v>
      </c>
    </row>
    <row r="162" spans="34:40">
      <c r="AH162" s="99">
        <v>22</v>
      </c>
      <c r="AI162" s="99" t="s">
        <v>4451</v>
      </c>
      <c r="AJ162" s="117">
        <v>-189619</v>
      </c>
      <c r="AK162" s="99">
        <v>15</v>
      </c>
      <c r="AL162" s="99">
        <f t="shared" si="22"/>
        <v>44</v>
      </c>
      <c r="AM162" s="99">
        <f t="shared" si="21"/>
        <v>-8343236</v>
      </c>
      <c r="AN162" s="99"/>
    </row>
    <row r="163" spans="34:40">
      <c r="AH163" s="199">
        <v>23</v>
      </c>
      <c r="AI163" s="199" t="s">
        <v>4528</v>
      </c>
      <c r="AJ163" s="199">
        <v>7100</v>
      </c>
      <c r="AK163" s="199">
        <v>0</v>
      </c>
      <c r="AL163" s="149">
        <f t="shared" si="22"/>
        <v>29</v>
      </c>
      <c r="AM163" s="199">
        <f t="shared" si="21"/>
        <v>205900</v>
      </c>
      <c r="AN163" s="199" t="s">
        <v>657</v>
      </c>
    </row>
    <row r="164" spans="34:40">
      <c r="AH164" s="20">
        <v>24</v>
      </c>
      <c r="AI164" s="20" t="s">
        <v>4528</v>
      </c>
      <c r="AJ164" s="20">
        <v>-147902</v>
      </c>
      <c r="AK164" s="20">
        <v>3</v>
      </c>
      <c r="AL164" s="99">
        <f t="shared" si="22"/>
        <v>29</v>
      </c>
      <c r="AM164" s="20">
        <f t="shared" si="21"/>
        <v>-4289158</v>
      </c>
      <c r="AN164" s="20"/>
    </row>
    <row r="165" spans="34:40">
      <c r="AH165" s="149">
        <v>25</v>
      </c>
      <c r="AI165" s="149" t="s">
        <v>4536</v>
      </c>
      <c r="AJ165" s="149">
        <v>-37200</v>
      </c>
      <c r="AK165" s="149">
        <v>4</v>
      </c>
      <c r="AL165" s="149">
        <f t="shared" si="22"/>
        <v>26</v>
      </c>
      <c r="AM165" s="199">
        <f t="shared" si="21"/>
        <v>-967200</v>
      </c>
      <c r="AN165" s="149" t="s">
        <v>657</v>
      </c>
    </row>
    <row r="166" spans="34:40">
      <c r="AH166" s="99">
        <v>26</v>
      </c>
      <c r="AI166" s="99" t="s">
        <v>4570</v>
      </c>
      <c r="AJ166" s="99">
        <v>-372326</v>
      </c>
      <c r="AK166" s="99">
        <v>21</v>
      </c>
      <c r="AL166" s="99">
        <f t="shared" si="22"/>
        <v>22</v>
      </c>
      <c r="AM166" s="20">
        <f t="shared" si="21"/>
        <v>-8191172</v>
      </c>
      <c r="AN166" s="99"/>
    </row>
    <row r="167" spans="34:40">
      <c r="AH167" s="99">
        <v>27</v>
      </c>
      <c r="AI167" s="99" t="s">
        <v>4643</v>
      </c>
      <c r="AJ167" s="99">
        <v>235062</v>
      </c>
      <c r="AK167" s="99">
        <v>0</v>
      </c>
      <c r="AL167" s="99">
        <f t="shared" si="22"/>
        <v>1</v>
      </c>
      <c r="AM167" s="20">
        <f t="shared" si="21"/>
        <v>235062</v>
      </c>
      <c r="AN167" s="99"/>
    </row>
    <row r="168" spans="34:40">
      <c r="AH168" s="149">
        <v>28</v>
      </c>
      <c r="AI168" s="149" t="s">
        <v>4643</v>
      </c>
      <c r="AJ168" s="149">
        <v>235062</v>
      </c>
      <c r="AK168" s="149">
        <v>1</v>
      </c>
      <c r="AL168" s="149">
        <f t="shared" si="22"/>
        <v>1</v>
      </c>
      <c r="AM168" s="149">
        <f t="shared" si="21"/>
        <v>235062</v>
      </c>
      <c r="AN168" s="149" t="s">
        <v>657</v>
      </c>
    </row>
    <row r="169" spans="34:40">
      <c r="AH169" s="99"/>
      <c r="AI169" s="99"/>
      <c r="AJ169" s="99"/>
      <c r="AK169" s="99"/>
      <c r="AL169" s="99">
        <f t="shared" si="22"/>
        <v>0</v>
      </c>
      <c r="AM169" s="20">
        <f t="shared" si="21"/>
        <v>0</v>
      </c>
      <c r="AN169" s="99"/>
    </row>
    <row r="170" spans="34:40">
      <c r="AH170" s="99"/>
      <c r="AI170" s="99"/>
      <c r="AJ170" s="99"/>
      <c r="AK170" s="99"/>
      <c r="AL170" s="99"/>
      <c r="AM170" s="99"/>
      <c r="AN170" s="99"/>
    </row>
    <row r="171" spans="34:40">
      <c r="AH171" s="99"/>
      <c r="AI171" s="99"/>
      <c r="AJ171" s="95">
        <f>SUM(AJ141:AJ170)</f>
        <v>27990174</v>
      </c>
      <c r="AK171" s="99"/>
      <c r="AL171" s="99"/>
      <c r="AM171" s="99">
        <f>SUM(AM141:AM170)</f>
        <v>2995143498</v>
      </c>
      <c r="AN171" s="95">
        <f>AM171*AN127/31</f>
        <v>1932350.6438709677</v>
      </c>
    </row>
    <row r="172" spans="34:40">
      <c r="AJ172" t="s">
        <v>4060</v>
      </c>
      <c r="AM172" t="s">
        <v>284</v>
      </c>
      <c r="AN172" t="s">
        <v>943</v>
      </c>
    </row>
    <row r="174" spans="34:40">
      <c r="AI174" t="s">
        <v>4062</v>
      </c>
      <c r="AJ174" s="114">
        <f>AJ171+AN171</f>
        <v>29922524.643870968</v>
      </c>
    </row>
    <row r="175" spans="34:40">
      <c r="AI175" t="s">
        <v>4065</v>
      </c>
      <c r="AJ175" s="114">
        <f>SUM(N20:N28)</f>
        <v>28194516.299999997</v>
      </c>
    </row>
    <row r="176" spans="34:40">
      <c r="AI176" t="s">
        <v>4137</v>
      </c>
      <c r="AJ176" s="114">
        <f>AJ175-AJ171</f>
        <v>204342.29999999702</v>
      </c>
    </row>
    <row r="177" spans="35:40">
      <c r="AI177" t="s">
        <v>943</v>
      </c>
      <c r="AJ177" s="114">
        <f>AN171</f>
        <v>1932350.6438709677</v>
      </c>
    </row>
    <row r="178" spans="35:40">
      <c r="AI178" t="s">
        <v>4066</v>
      </c>
      <c r="AJ178" s="114">
        <f>AJ176-AJ177</f>
        <v>-1728008.3438709707</v>
      </c>
      <c r="AN178" t="s">
        <v>25</v>
      </c>
    </row>
    <row r="179" spans="35:40">
      <c r="AN179" t="s">
        <v>25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 S28 P22 U92 S7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F8" sqref="F8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6.7109375" bestFit="1" customWidth="1"/>
    <col min="6" max="6" width="14.8554687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15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4494</v>
      </c>
      <c r="M1" s="169" t="s">
        <v>937</v>
      </c>
      <c r="N1" s="56" t="s">
        <v>940</v>
      </c>
      <c r="O1" s="99" t="s">
        <v>8</v>
      </c>
    </row>
    <row r="2" spans="1:15">
      <c r="A2" s="99" t="s">
        <v>4244</v>
      </c>
      <c r="B2" s="207">
        <v>1707</v>
      </c>
      <c r="C2" s="209" t="s">
        <v>4651</v>
      </c>
      <c r="D2" s="99" t="s">
        <v>4510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4616</v>
      </c>
      <c r="B3" s="207">
        <v>1184</v>
      </c>
      <c r="C3" s="209" t="s">
        <v>4623</v>
      </c>
      <c r="D3" s="99"/>
      <c r="J3" s="169">
        <v>2</v>
      </c>
      <c r="K3" s="169" t="s">
        <v>4506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 t="s">
        <v>4617</v>
      </c>
      <c r="B4" s="207">
        <v>1804</v>
      </c>
      <c r="C4" s="209" t="s">
        <v>4624</v>
      </c>
      <c r="D4" s="99"/>
      <c r="F4" t="s">
        <v>25</v>
      </c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/>
      <c r="B5" s="207"/>
      <c r="C5" s="209"/>
      <c r="D5" s="99"/>
      <c r="J5" s="169"/>
      <c r="K5" s="169"/>
      <c r="L5" s="113"/>
      <c r="M5" s="169"/>
      <c r="N5" s="113"/>
      <c r="O5" s="99"/>
    </row>
    <row r="6" spans="1:15">
      <c r="A6" s="99" t="s">
        <v>1086</v>
      </c>
      <c r="B6" s="207">
        <v>4060000</v>
      </c>
      <c r="C6" s="170">
        <v>4260000</v>
      </c>
      <c r="D6" s="99" t="s">
        <v>4510</v>
      </c>
      <c r="F6" t="s">
        <v>25</v>
      </c>
      <c r="G6" t="s">
        <v>25</v>
      </c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 t="s">
        <v>4586</v>
      </c>
      <c r="B7" s="207">
        <v>1689</v>
      </c>
      <c r="C7" s="170"/>
      <c r="D7" s="99"/>
      <c r="F7" s="114">
        <v>0</v>
      </c>
      <c r="J7" s="169"/>
      <c r="K7" s="169"/>
      <c r="L7" s="169"/>
      <c r="M7" s="169" t="s">
        <v>6</v>
      </c>
      <c r="N7" s="169"/>
      <c r="O7" s="99"/>
    </row>
    <row r="8" spans="1:15">
      <c r="A8" s="99" t="s">
        <v>4553</v>
      </c>
      <c r="B8" s="207">
        <v>3414</v>
      </c>
      <c r="C8" s="170">
        <v>3622</v>
      </c>
      <c r="D8" s="99"/>
      <c r="F8">
        <v>0</v>
      </c>
      <c r="M8" s="113">
        <f>N6/M6</f>
        <v>4053750</v>
      </c>
    </row>
    <row r="9" spans="1:15">
      <c r="A9" s="99" t="s">
        <v>4610</v>
      </c>
      <c r="B9" s="207">
        <v>1174</v>
      </c>
      <c r="C9" s="170" t="s">
        <v>25</v>
      </c>
      <c r="D9" s="99"/>
      <c r="F9">
        <v>0</v>
      </c>
      <c r="M9" s="41" t="s">
        <v>4538</v>
      </c>
      <c r="N9" t="s">
        <v>25</v>
      </c>
    </row>
    <row r="10" spans="1:15">
      <c r="A10" s="99" t="s">
        <v>4416</v>
      </c>
      <c r="B10" s="207">
        <v>472</v>
      </c>
      <c r="C10" s="170">
        <v>540</v>
      </c>
      <c r="D10" s="99"/>
      <c r="F10">
        <v>0</v>
      </c>
    </row>
    <row r="11" spans="1:15">
      <c r="A11" s="99"/>
      <c r="B11" s="207"/>
      <c r="C11" s="170"/>
      <c r="D11" s="99"/>
      <c r="F11" s="114">
        <v>0</v>
      </c>
    </row>
    <row r="12" spans="1:15">
      <c r="A12" s="99" t="s">
        <v>4572</v>
      </c>
      <c r="B12" s="207">
        <v>-559366</v>
      </c>
      <c r="C12" s="170"/>
      <c r="D12" s="59" t="s">
        <v>4642</v>
      </c>
      <c r="F12" s="114">
        <v>0</v>
      </c>
      <c r="L12">
        <f>140-M6-3</f>
        <v>121</v>
      </c>
      <c r="M12">
        <f>75-3-M2-M4</f>
        <v>60</v>
      </c>
    </row>
    <row r="13" spans="1:15">
      <c r="A13" s="99"/>
      <c r="B13" s="207"/>
      <c r="C13" s="170"/>
      <c r="D13" s="99"/>
      <c r="F13" s="114">
        <v>0</v>
      </c>
      <c r="M13">
        <f>65-M3</f>
        <v>61</v>
      </c>
    </row>
    <row r="14" spans="1:15">
      <c r="A14" s="99"/>
      <c r="B14" s="207"/>
      <c r="C14" s="170"/>
      <c r="D14" s="99"/>
      <c r="F14" s="114">
        <v>0</v>
      </c>
    </row>
    <row r="15" spans="1:15">
      <c r="A15" s="99"/>
      <c r="B15" s="207"/>
      <c r="C15" s="170"/>
      <c r="D15" s="99"/>
      <c r="F15" s="114">
        <f>B12+F7+F8+F9+F10+F11+F12+F13+F14</f>
        <v>-559366</v>
      </c>
    </row>
    <row r="16" spans="1:15">
      <c r="A16" s="99"/>
      <c r="B16" s="207"/>
      <c r="C16" s="170"/>
      <c r="D16" s="99"/>
    </row>
    <row r="17" spans="1:19">
      <c r="A17" s="99"/>
      <c r="G17" s="169" t="s">
        <v>4537</v>
      </c>
      <c r="H17" s="169" t="s">
        <v>4297</v>
      </c>
      <c r="I17" s="169" t="s">
        <v>937</v>
      </c>
      <c r="J17" s="169" t="s">
        <v>4244</v>
      </c>
      <c r="K17" s="169" t="s">
        <v>4566</v>
      </c>
      <c r="L17" s="169"/>
      <c r="M17" s="41"/>
      <c r="N17" s="41"/>
      <c r="O17" s="169" t="s">
        <v>4549</v>
      </c>
      <c r="P17" s="169" t="s">
        <v>1086</v>
      </c>
      <c r="Q17" s="169" t="s">
        <v>4244</v>
      </c>
      <c r="R17" s="169" t="s">
        <v>4566</v>
      </c>
      <c r="S17" s="169"/>
    </row>
    <row r="18" spans="1:19">
      <c r="A18" s="99"/>
      <c r="B18" s="207">
        <v>3965000</v>
      </c>
      <c r="C18" s="170"/>
      <c r="D18" s="99" t="s">
        <v>4498</v>
      </c>
      <c r="G18" s="169" t="s">
        <v>4546</v>
      </c>
      <c r="H18" s="169">
        <v>281</v>
      </c>
      <c r="I18" s="169">
        <v>15274</v>
      </c>
      <c r="J18" s="169">
        <v>165.5</v>
      </c>
      <c r="K18" s="169">
        <f>H18/J18</f>
        <v>1.6978851963746224</v>
      </c>
      <c r="L18" s="169" t="s">
        <v>4603</v>
      </c>
      <c r="M18" s="41"/>
      <c r="N18" s="41"/>
      <c r="O18" s="169" t="s">
        <v>4536</v>
      </c>
      <c r="P18" s="169">
        <v>3390000</v>
      </c>
      <c r="Q18" s="169">
        <v>161.4</v>
      </c>
      <c r="R18" s="169">
        <f>P18/Q18</f>
        <v>21003.717472118959</v>
      </c>
      <c r="S18" s="169"/>
    </row>
    <row r="19" spans="1:19">
      <c r="A19" s="99"/>
      <c r="B19" s="207">
        <v>3880000</v>
      </c>
      <c r="C19" s="170"/>
      <c r="D19" s="99" t="s">
        <v>4505</v>
      </c>
      <c r="G19" s="169" t="s">
        <v>4545</v>
      </c>
      <c r="H19" s="169">
        <v>289.3</v>
      </c>
      <c r="I19" s="169">
        <v>14073</v>
      </c>
      <c r="J19" s="169">
        <v>166.2</v>
      </c>
      <c r="K19" s="169">
        <f>H19/J19</f>
        <v>1.7406738868832734</v>
      </c>
      <c r="L19" s="169" t="s">
        <v>4603</v>
      </c>
      <c r="M19" s="41"/>
      <c r="N19" s="41"/>
      <c r="O19" s="169"/>
      <c r="P19" s="169"/>
      <c r="Q19" s="169"/>
      <c r="R19" s="169"/>
      <c r="S19" s="169"/>
    </row>
    <row r="20" spans="1:19">
      <c r="A20" s="99" t="s">
        <v>4511</v>
      </c>
      <c r="B20" s="208"/>
      <c r="C20" s="170">
        <v>3894000</v>
      </c>
      <c r="D20" s="99" t="s">
        <v>4506</v>
      </c>
      <c r="G20" s="169" t="s">
        <v>4547</v>
      </c>
      <c r="H20" s="169">
        <v>281</v>
      </c>
      <c r="I20" s="169">
        <v>5000</v>
      </c>
      <c r="J20" s="169">
        <v>160.19999999999999</v>
      </c>
      <c r="K20" s="169">
        <f>H20/J20</f>
        <v>1.7540574282147317</v>
      </c>
      <c r="L20" s="169" t="s">
        <v>4603</v>
      </c>
      <c r="M20" s="41"/>
      <c r="N20" s="41"/>
      <c r="O20" s="169"/>
      <c r="P20" s="169"/>
      <c r="Q20" s="169"/>
      <c r="R20" s="169"/>
      <c r="S20" s="169"/>
    </row>
    <row r="21" spans="1:19">
      <c r="A21" s="99"/>
      <c r="B21" s="207"/>
      <c r="C21" s="170">
        <v>3845000</v>
      </c>
      <c r="D21" s="99" t="s">
        <v>4506</v>
      </c>
      <c r="G21" s="169" t="s">
        <v>994</v>
      </c>
      <c r="H21" s="169">
        <v>284.7</v>
      </c>
      <c r="I21" s="169">
        <v>8196</v>
      </c>
      <c r="J21" s="169">
        <v>174.7</v>
      </c>
      <c r="K21" s="169">
        <f>H21/J21</f>
        <v>1.629650829994276</v>
      </c>
      <c r="L21" s="169" t="s">
        <v>4604</v>
      </c>
      <c r="M21" s="41"/>
      <c r="N21" s="41"/>
      <c r="O21" s="169"/>
      <c r="P21" s="169"/>
      <c r="Q21" s="169"/>
      <c r="R21" s="169"/>
      <c r="S21" s="169"/>
    </row>
    <row r="22" spans="1:19">
      <c r="A22" s="99"/>
      <c r="B22" s="207"/>
      <c r="C22" s="170">
        <v>3845000</v>
      </c>
      <c r="D22" s="99" t="s">
        <v>4506</v>
      </c>
      <c r="G22" s="169"/>
      <c r="H22" s="169"/>
      <c r="I22" s="169"/>
      <c r="J22" s="169"/>
      <c r="K22" s="169"/>
      <c r="L22" s="169"/>
      <c r="M22" s="41"/>
      <c r="N22" s="41"/>
      <c r="O22" s="169"/>
      <c r="P22" s="169"/>
      <c r="Q22" s="169"/>
      <c r="R22" s="169"/>
      <c r="S22" s="169"/>
    </row>
    <row r="23" spans="1:19">
      <c r="A23" s="99"/>
      <c r="B23" s="207"/>
      <c r="C23" s="170">
        <v>3845000</v>
      </c>
      <c r="D23" s="99" t="s">
        <v>4506</v>
      </c>
      <c r="G23" s="169"/>
      <c r="H23" s="169"/>
      <c r="I23" s="169"/>
      <c r="J23" s="169"/>
      <c r="K23" s="169"/>
      <c r="L23" s="169"/>
      <c r="M23" s="41"/>
      <c r="N23" s="41"/>
      <c r="O23" s="169"/>
      <c r="P23" s="169"/>
      <c r="Q23" s="169"/>
      <c r="R23" s="169"/>
      <c r="S23" s="169"/>
    </row>
    <row r="24" spans="1:19">
      <c r="A24" s="99" t="s">
        <v>4513</v>
      </c>
      <c r="B24" s="207">
        <v>4020000</v>
      </c>
      <c r="C24" s="170">
        <v>30000</v>
      </c>
      <c r="D24" s="99" t="s">
        <v>4510</v>
      </c>
      <c r="G24" s="169"/>
      <c r="H24" s="169"/>
      <c r="I24" s="169"/>
      <c r="J24" s="169"/>
      <c r="K24" s="169" t="s">
        <v>25</v>
      </c>
      <c r="L24" s="169"/>
      <c r="M24" s="41"/>
      <c r="N24" s="41"/>
      <c r="O24" s="169"/>
      <c r="P24" s="169"/>
      <c r="Q24" s="169"/>
      <c r="R24" s="169"/>
      <c r="S24" s="169"/>
    </row>
    <row r="25" spans="1:19">
      <c r="A25" s="99"/>
      <c r="B25" s="207">
        <v>3915000</v>
      </c>
      <c r="C25" s="170"/>
      <c r="D25" s="99" t="s">
        <v>4512</v>
      </c>
      <c r="G25" s="169"/>
      <c r="H25" s="169"/>
      <c r="I25" s="169"/>
      <c r="J25" s="169"/>
      <c r="K25" s="169"/>
      <c r="L25" s="169"/>
      <c r="M25" s="41"/>
      <c r="N25" s="41"/>
      <c r="O25" s="169"/>
      <c r="P25" s="169"/>
      <c r="Q25" s="169"/>
      <c r="R25" s="169"/>
      <c r="S25" s="169"/>
    </row>
    <row r="26" spans="1:19">
      <c r="A26" s="99"/>
      <c r="B26" s="207">
        <v>3821000</v>
      </c>
      <c r="C26" s="170"/>
      <c r="D26" s="99" t="s">
        <v>4516</v>
      </c>
    </row>
    <row r="27" spans="1:19">
      <c r="A27" s="99"/>
      <c r="B27" s="207"/>
      <c r="C27" s="170"/>
      <c r="D27" s="99" t="s">
        <v>4525</v>
      </c>
    </row>
    <row r="28" spans="1:19">
      <c r="A28" s="99" t="s">
        <v>4548</v>
      </c>
      <c r="B28" s="207"/>
      <c r="C28" s="170">
        <v>3421299</v>
      </c>
      <c r="D28" s="99" t="s">
        <v>4232</v>
      </c>
      <c r="I28" t="s">
        <v>25</v>
      </c>
      <c r="K28">
        <f>K20/K21</f>
        <v>1.0763394194208415</v>
      </c>
    </row>
    <row r="29" spans="1:19">
      <c r="A29" s="99" t="s">
        <v>4580</v>
      </c>
      <c r="B29" s="207"/>
      <c r="C29" s="170">
        <v>3490000</v>
      </c>
      <c r="D29" s="99" t="s">
        <v>4232</v>
      </c>
    </row>
    <row r="30" spans="1:19">
      <c r="A30" s="99" t="s">
        <v>4581</v>
      </c>
      <c r="B30" s="207"/>
      <c r="C30" s="170">
        <v>271000</v>
      </c>
      <c r="D30" s="99" t="s">
        <v>4577</v>
      </c>
    </row>
    <row r="31" spans="1:19">
      <c r="A31" s="99" t="s">
        <v>4591</v>
      </c>
      <c r="B31" s="207"/>
      <c r="C31" s="170">
        <v>69700</v>
      </c>
      <c r="D31" s="99" t="s">
        <v>4582</v>
      </c>
    </row>
    <row r="32" spans="1:19">
      <c r="A32" s="99"/>
      <c r="B32" s="207"/>
      <c r="C32" s="170"/>
      <c r="D32" s="99"/>
    </row>
    <row r="33" spans="1:13">
      <c r="A33" s="99"/>
      <c r="B33" s="207"/>
      <c r="C33" s="170"/>
      <c r="D33" s="99"/>
    </row>
    <row r="34" spans="1:13">
      <c r="A34" s="99"/>
      <c r="B34" s="207"/>
      <c r="C34" s="170"/>
      <c r="D34" s="99"/>
    </row>
    <row r="35" spans="1:13">
      <c r="A35" s="99"/>
      <c r="B35" s="170"/>
      <c r="C35" s="170"/>
      <c r="D35" s="99"/>
    </row>
    <row r="36" spans="1:13">
      <c r="B36" s="58"/>
      <c r="C36" s="58"/>
      <c r="D36" s="115"/>
    </row>
    <row r="37" spans="1:13">
      <c r="B37" t="s">
        <v>25</v>
      </c>
    </row>
    <row r="38" spans="1:13">
      <c r="B38" s="114">
        <f>SUM(C18:C35)-SUM(B18:B35)</f>
        <v>3109999</v>
      </c>
      <c r="C38" t="s">
        <v>916</v>
      </c>
      <c r="I38" s="41"/>
      <c r="J38" s="41"/>
      <c r="K38" s="41"/>
      <c r="L38" s="41"/>
      <c r="M38" s="41"/>
    </row>
    <row r="41" spans="1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opLeftCell="E1" workbookViewId="0">
      <selection activeCell="AC4" sqref="AC4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  <col min="25" max="25" width="8.42578125" customWidth="1"/>
    <col min="26" max="26" width="11.7109375" customWidth="1"/>
    <col min="28" max="28" width="12.28515625" customWidth="1"/>
    <col min="29" max="29" width="30.7109375" bestFit="1" customWidth="1"/>
  </cols>
  <sheetData>
    <row r="1" spans="1:34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34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  <c r="Y2" s="99" t="s">
        <v>4556</v>
      </c>
      <c r="Z2" s="99" t="s">
        <v>4631</v>
      </c>
      <c r="AA2" s="99" t="s">
        <v>4629</v>
      </c>
      <c r="AB2" s="99" t="s">
        <v>4630</v>
      </c>
      <c r="AC2" s="99" t="s">
        <v>4633</v>
      </c>
      <c r="AD2" s="99"/>
      <c r="AE2" s="99"/>
      <c r="AF2" s="99"/>
      <c r="AG2" s="99"/>
      <c r="AH2" s="99"/>
    </row>
    <row r="3" spans="1:34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  <c r="Y3" s="99" t="s">
        <v>4244</v>
      </c>
      <c r="Z3" s="99">
        <v>2740</v>
      </c>
      <c r="AA3" s="99">
        <v>1790</v>
      </c>
      <c r="AB3" s="99">
        <f t="shared" ref="AB3:AB4" si="0">AA3/Z3</f>
        <v>0.65328467153284675</v>
      </c>
      <c r="AC3" s="99" t="s">
        <v>4635</v>
      </c>
      <c r="AD3" s="99"/>
      <c r="AE3" s="99"/>
      <c r="AF3" s="99"/>
      <c r="AG3" s="99"/>
      <c r="AH3" s="99"/>
    </row>
    <row r="4" spans="1:34">
      <c r="A4" s="99">
        <v>3</v>
      </c>
      <c r="B4" s="99"/>
      <c r="C4" s="170">
        <v>104</v>
      </c>
      <c r="D4" s="99">
        <v>-20000</v>
      </c>
      <c r="E4" s="99">
        <f t="shared" ref="E4:E24" si="1">E3+D4</f>
        <v>960000</v>
      </c>
      <c r="F4" s="170">
        <f t="shared" ref="F4:F24" si="2">-C4*D4*(1-IF(D4&lt;0,$O$1,$O$2))</f>
        <v>2066896</v>
      </c>
      <c r="G4" s="170">
        <f t="shared" ref="G4:G24" si="3">ABS(C4*D4*IF(D4&lt;0,$O$1,$O$2))</f>
        <v>13104</v>
      </c>
      <c r="Y4" s="99" t="s">
        <v>4632</v>
      </c>
      <c r="Z4" s="99">
        <v>1</v>
      </c>
      <c r="AA4" s="99">
        <v>1</v>
      </c>
      <c r="AB4" s="99">
        <f t="shared" si="0"/>
        <v>1</v>
      </c>
      <c r="AC4" s="99" t="s">
        <v>4634</v>
      </c>
      <c r="AD4" s="99"/>
      <c r="AE4" s="99"/>
      <c r="AF4" s="99"/>
      <c r="AG4" s="99"/>
      <c r="AH4" s="99"/>
    </row>
    <row r="5" spans="1:34">
      <c r="A5" s="99">
        <v>4</v>
      </c>
      <c r="B5" s="99"/>
      <c r="C5" s="170">
        <v>102</v>
      </c>
      <c r="D5" s="99">
        <v>20000</v>
      </c>
      <c r="E5" s="99">
        <f t="shared" si="1"/>
        <v>980000</v>
      </c>
      <c r="F5" s="170">
        <f t="shared" si="2"/>
        <v>-2030004</v>
      </c>
      <c r="G5" s="170">
        <f t="shared" si="3"/>
        <v>9996</v>
      </c>
      <c r="Y5" s="99" t="s">
        <v>4616</v>
      </c>
      <c r="Z5" s="99">
        <v>2180</v>
      </c>
      <c r="AA5" s="99">
        <v>1194</v>
      </c>
      <c r="AB5" s="99">
        <f>AA5/Z5</f>
        <v>0.54770642201834863</v>
      </c>
      <c r="AC5" s="99"/>
      <c r="AD5" s="99"/>
      <c r="AE5" s="99"/>
      <c r="AF5" s="99"/>
      <c r="AG5" s="99"/>
      <c r="AH5" s="99"/>
    </row>
    <row r="6" spans="1:34">
      <c r="A6" s="99">
        <v>5</v>
      </c>
      <c r="B6" s="99"/>
      <c r="C6" s="170">
        <v>100</v>
      </c>
      <c r="D6" s="99">
        <v>20000</v>
      </c>
      <c r="E6" s="99">
        <f t="shared" si="1"/>
        <v>1000000</v>
      </c>
      <c r="F6" s="170">
        <f t="shared" si="2"/>
        <v>-1990200</v>
      </c>
      <c r="G6" s="170">
        <f t="shared" si="3"/>
        <v>9800</v>
      </c>
      <c r="Y6" s="99"/>
      <c r="Z6" s="99"/>
      <c r="AA6" s="99"/>
      <c r="AB6" s="99"/>
      <c r="AC6" s="99"/>
      <c r="AD6" s="99"/>
      <c r="AE6" s="99"/>
      <c r="AF6" s="99"/>
      <c r="AG6" s="99"/>
      <c r="AH6" s="99"/>
    </row>
    <row r="7" spans="1:34">
      <c r="A7" s="99">
        <v>6</v>
      </c>
      <c r="B7" s="99"/>
      <c r="C7" s="170">
        <v>98</v>
      </c>
      <c r="D7" s="99">
        <v>20000</v>
      </c>
      <c r="E7" s="99">
        <f t="shared" si="1"/>
        <v>1020000</v>
      </c>
      <c r="F7" s="170">
        <f t="shared" si="2"/>
        <v>-1950396</v>
      </c>
      <c r="G7" s="170">
        <f t="shared" si="3"/>
        <v>9604</v>
      </c>
      <c r="Y7" s="99"/>
      <c r="Z7" s="99"/>
      <c r="AA7" s="99"/>
      <c r="AB7" s="99"/>
      <c r="AC7" s="99"/>
      <c r="AD7" s="99"/>
      <c r="AE7" s="99"/>
      <c r="AF7" s="99"/>
      <c r="AG7" s="99"/>
      <c r="AH7" s="99"/>
    </row>
    <row r="8" spans="1:34">
      <c r="A8" s="99">
        <v>7</v>
      </c>
      <c r="B8" s="99"/>
      <c r="C8" s="170">
        <v>96</v>
      </c>
      <c r="D8" s="99">
        <v>20000</v>
      </c>
      <c r="E8" s="99">
        <f t="shared" si="1"/>
        <v>1040000</v>
      </c>
      <c r="F8" s="170">
        <f t="shared" si="2"/>
        <v>-1910592</v>
      </c>
      <c r="G8" s="170">
        <f t="shared" si="3"/>
        <v>9408</v>
      </c>
      <c r="Y8" s="99"/>
      <c r="Z8" s="99"/>
      <c r="AA8" s="99"/>
      <c r="AB8" s="99"/>
      <c r="AC8" s="99"/>
      <c r="AD8" s="99"/>
      <c r="AE8" s="99"/>
      <c r="AF8" s="99"/>
      <c r="AG8" s="99"/>
      <c r="AH8" s="99"/>
    </row>
    <row r="9" spans="1:34">
      <c r="A9" s="99">
        <v>8</v>
      </c>
      <c r="B9" s="99"/>
      <c r="C9" s="170">
        <v>98</v>
      </c>
      <c r="D9" s="99">
        <v>-20000</v>
      </c>
      <c r="E9" s="99">
        <f t="shared" si="1"/>
        <v>1020000</v>
      </c>
      <c r="F9" s="170">
        <f t="shared" si="2"/>
        <v>1947652</v>
      </c>
      <c r="G9" s="170">
        <f t="shared" si="3"/>
        <v>12348</v>
      </c>
      <c r="Q9" s="96">
        <v>1000000</v>
      </c>
      <c r="R9" s="96">
        <f>Q9*0.03</f>
        <v>30000</v>
      </c>
      <c r="Y9" s="99"/>
      <c r="Z9" s="99"/>
      <c r="AA9" s="99"/>
      <c r="AB9" s="99"/>
      <c r="AC9" s="99"/>
      <c r="AD9" s="99"/>
      <c r="AE9" s="99"/>
      <c r="AF9" s="99"/>
      <c r="AG9" s="99"/>
      <c r="AH9" s="99"/>
    </row>
    <row r="10" spans="1:34">
      <c r="A10" s="99">
        <v>9</v>
      </c>
      <c r="B10" s="99"/>
      <c r="C10" s="170">
        <v>96</v>
      </c>
      <c r="D10" s="99">
        <v>20000</v>
      </c>
      <c r="E10" s="99">
        <f t="shared" si="1"/>
        <v>1040000</v>
      </c>
      <c r="F10" s="170">
        <f t="shared" si="2"/>
        <v>-1910592</v>
      </c>
      <c r="G10" s="170">
        <f t="shared" si="3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  <c r="Y10" s="99"/>
      <c r="Z10" s="99"/>
      <c r="AA10" s="99"/>
      <c r="AB10" s="99"/>
      <c r="AC10" s="99"/>
      <c r="AD10" s="99"/>
      <c r="AE10" s="99"/>
      <c r="AF10" s="99"/>
      <c r="AG10" s="99"/>
      <c r="AH10" s="99"/>
    </row>
    <row r="11" spans="1:34">
      <c r="A11" s="99">
        <v>10</v>
      </c>
      <c r="B11" s="99"/>
      <c r="C11" s="170">
        <v>98</v>
      </c>
      <c r="D11" s="99">
        <v>-20000</v>
      </c>
      <c r="E11" s="99">
        <f t="shared" si="1"/>
        <v>1020000</v>
      </c>
      <c r="F11" s="170">
        <f t="shared" si="2"/>
        <v>1947652</v>
      </c>
      <c r="G11" s="170">
        <f t="shared" si="3"/>
        <v>12348</v>
      </c>
      <c r="T11" s="96"/>
      <c r="U11" s="96"/>
      <c r="V11" s="96"/>
      <c r="W11" s="96"/>
      <c r="Y11" s="99"/>
      <c r="Z11" s="99"/>
      <c r="AA11" s="99"/>
      <c r="AB11" s="99"/>
      <c r="AC11" s="99"/>
      <c r="AD11" s="99"/>
      <c r="AE11" s="99"/>
      <c r="AF11" s="99"/>
      <c r="AG11" s="99"/>
      <c r="AH11" s="99"/>
    </row>
    <row r="12" spans="1:34">
      <c r="A12" s="99">
        <v>11</v>
      </c>
      <c r="B12" s="99"/>
      <c r="C12" s="170">
        <v>100</v>
      </c>
      <c r="D12" s="99">
        <v>-20000</v>
      </c>
      <c r="E12" s="99">
        <f t="shared" si="1"/>
        <v>1000000</v>
      </c>
      <c r="F12" s="170">
        <f t="shared" si="2"/>
        <v>1987400</v>
      </c>
      <c r="G12" s="170">
        <f t="shared" si="3"/>
        <v>12600</v>
      </c>
      <c r="O12" s="96"/>
      <c r="P12" s="96"/>
      <c r="S12" s="96"/>
      <c r="T12" s="96"/>
      <c r="U12" s="96"/>
      <c r="V12" s="96"/>
      <c r="W12" s="96"/>
      <c r="X12" s="96"/>
      <c r="Y12" s="99"/>
      <c r="Z12" s="99"/>
      <c r="AA12" s="99"/>
      <c r="AB12" s="99"/>
      <c r="AC12" s="99"/>
      <c r="AD12" s="99"/>
      <c r="AE12" s="99"/>
      <c r="AF12" s="99"/>
      <c r="AG12" s="99"/>
      <c r="AH12" s="99"/>
    </row>
    <row r="13" spans="1:34">
      <c r="A13" s="99">
        <v>12</v>
      </c>
      <c r="B13" s="99"/>
      <c r="C13" s="170">
        <v>102</v>
      </c>
      <c r="D13" s="99">
        <v>-20000</v>
      </c>
      <c r="E13" s="99">
        <f t="shared" si="1"/>
        <v>980000</v>
      </c>
      <c r="F13" s="170">
        <f t="shared" si="2"/>
        <v>2027148</v>
      </c>
      <c r="G13" s="170">
        <f t="shared" si="3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9"/>
      <c r="Z13" s="99"/>
      <c r="AA13" s="99"/>
      <c r="AB13" s="99"/>
      <c r="AC13" s="99"/>
      <c r="AD13" s="99"/>
      <c r="AE13" s="99"/>
      <c r="AF13" s="99"/>
      <c r="AG13" s="99"/>
      <c r="AH13" s="99"/>
    </row>
    <row r="14" spans="1:34">
      <c r="A14" s="99">
        <v>13</v>
      </c>
      <c r="B14" s="99"/>
      <c r="C14" s="170">
        <v>104</v>
      </c>
      <c r="D14" s="99">
        <v>-20000</v>
      </c>
      <c r="E14" s="99">
        <f t="shared" si="1"/>
        <v>960000</v>
      </c>
      <c r="F14" s="170">
        <f t="shared" si="2"/>
        <v>2066896</v>
      </c>
      <c r="G14" s="170">
        <f t="shared" si="3"/>
        <v>13104</v>
      </c>
      <c r="O14" s="96"/>
      <c r="P14" s="96"/>
      <c r="S14" s="96"/>
      <c r="T14" s="96"/>
      <c r="U14" s="96"/>
      <c r="V14" s="96"/>
      <c r="W14" s="96"/>
      <c r="X14" s="96"/>
      <c r="Y14" s="99"/>
      <c r="Z14" s="99"/>
      <c r="AA14" s="99"/>
      <c r="AB14" s="99"/>
      <c r="AC14" s="99"/>
      <c r="AD14" s="99"/>
      <c r="AE14" s="99"/>
      <c r="AF14" s="99"/>
      <c r="AG14" s="99"/>
      <c r="AH14" s="99"/>
    </row>
    <row r="15" spans="1:34">
      <c r="A15" s="99">
        <v>14</v>
      </c>
      <c r="B15" s="99"/>
      <c r="C15" s="170">
        <v>102</v>
      </c>
      <c r="D15" s="99">
        <v>20000</v>
      </c>
      <c r="E15" s="99">
        <f t="shared" si="1"/>
        <v>980000</v>
      </c>
      <c r="F15" s="170">
        <f t="shared" si="2"/>
        <v>-2030004</v>
      </c>
      <c r="G15" s="170">
        <f t="shared" si="3"/>
        <v>9996</v>
      </c>
      <c r="O15" s="96"/>
      <c r="P15" s="96"/>
      <c r="S15" s="96"/>
      <c r="T15" s="96"/>
      <c r="U15" s="96"/>
      <c r="V15" s="96"/>
      <c r="W15" s="96"/>
      <c r="X15" s="96"/>
      <c r="Y15" s="99"/>
      <c r="Z15" s="99"/>
      <c r="AA15" s="99"/>
      <c r="AB15" s="99"/>
      <c r="AC15" s="99"/>
      <c r="AD15" s="99"/>
      <c r="AE15" s="99"/>
      <c r="AF15" s="99"/>
      <c r="AG15" s="99"/>
      <c r="AH15" s="99"/>
    </row>
    <row r="16" spans="1:34">
      <c r="A16" s="99">
        <v>15</v>
      </c>
      <c r="B16" s="99"/>
      <c r="C16" s="170">
        <v>100</v>
      </c>
      <c r="D16" s="99">
        <v>20000</v>
      </c>
      <c r="E16" s="99">
        <f t="shared" si="1"/>
        <v>1000000</v>
      </c>
      <c r="F16" s="170">
        <f t="shared" si="2"/>
        <v>-1990200</v>
      </c>
      <c r="G16" s="170">
        <f t="shared" si="3"/>
        <v>9800</v>
      </c>
      <c r="O16" s="96"/>
      <c r="P16" s="96"/>
      <c r="S16" s="96"/>
      <c r="T16" s="96"/>
      <c r="U16" s="96"/>
      <c r="V16" s="96"/>
      <c r="W16" s="96"/>
      <c r="X16" s="96"/>
      <c r="Y16" s="99"/>
      <c r="Z16" s="99"/>
      <c r="AA16" s="99"/>
      <c r="AB16" s="99"/>
      <c r="AC16" s="99"/>
      <c r="AD16" s="99"/>
      <c r="AE16" s="99"/>
      <c r="AF16" s="99"/>
      <c r="AG16" s="99"/>
      <c r="AH16" s="99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1"/>
        <v>980000</v>
      </c>
      <c r="F17" s="170">
        <f t="shared" si="2"/>
        <v>2027148</v>
      </c>
      <c r="G17" s="170">
        <f t="shared" si="3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1"/>
        <v>960000</v>
      </c>
      <c r="F18" s="170">
        <f t="shared" si="2"/>
        <v>2066896</v>
      </c>
      <c r="G18" s="170">
        <f t="shared" si="3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1"/>
        <v>940000</v>
      </c>
      <c r="F19" s="170">
        <f t="shared" si="2"/>
        <v>2106644</v>
      </c>
      <c r="G19" s="170">
        <f t="shared" si="3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1"/>
        <v>920000</v>
      </c>
      <c r="F20" s="170">
        <f t="shared" si="2"/>
        <v>2146392</v>
      </c>
      <c r="G20" s="170">
        <f t="shared" si="3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1"/>
        <v>940000</v>
      </c>
      <c r="F21" s="170">
        <f t="shared" si="2"/>
        <v>-2109612</v>
      </c>
      <c r="G21" s="170">
        <f t="shared" si="3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1"/>
        <v>960000</v>
      </c>
      <c r="F22" s="170">
        <f t="shared" si="2"/>
        <v>-2069808</v>
      </c>
      <c r="G22" s="170">
        <f t="shared" si="3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1"/>
        <v>980000</v>
      </c>
      <c r="F23" s="170">
        <f t="shared" si="2"/>
        <v>-2030004</v>
      </c>
      <c r="G23" s="170">
        <f t="shared" si="3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1"/>
        <v>1000000</v>
      </c>
      <c r="F24" s="170">
        <f t="shared" si="2"/>
        <v>-1990200</v>
      </c>
      <c r="G24" s="170">
        <f t="shared" si="3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4597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4454</v>
      </c>
      <c r="B6" s="18">
        <v>3000000</v>
      </c>
      <c r="C6" s="18">
        <v>0</v>
      </c>
      <c r="D6" s="113">
        <f t="shared" si="0"/>
        <v>3000000</v>
      </c>
      <c r="E6" s="19" t="s">
        <v>4455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4485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4492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4492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4498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4506</v>
      </c>
      <c r="B16" s="18">
        <v>12000000</v>
      </c>
      <c r="C16" s="18">
        <v>0</v>
      </c>
      <c r="D16" s="113">
        <f t="shared" si="0"/>
        <v>12000000</v>
      </c>
      <c r="E16" s="20" t="s">
        <v>4507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4508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4510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4512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4512</v>
      </c>
      <c r="B20" s="18">
        <v>0</v>
      </c>
      <c r="C20" s="18">
        <v>-8034286</v>
      </c>
      <c r="D20" s="113">
        <f t="shared" si="0"/>
        <v>8034286</v>
      </c>
      <c r="E20" s="19" t="s">
        <v>4514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4512</v>
      </c>
      <c r="B21" s="18">
        <v>-10000</v>
      </c>
      <c r="C21" s="18">
        <v>0</v>
      </c>
      <c r="D21" s="113">
        <f t="shared" si="0"/>
        <v>-10000</v>
      </c>
      <c r="E21" s="19" t="s">
        <v>4515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4516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4524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4525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4525</v>
      </c>
      <c r="B25" s="18">
        <v>-100500</v>
      </c>
      <c r="C25" s="18">
        <v>0</v>
      </c>
      <c r="D25" s="113">
        <f t="shared" si="0"/>
        <v>-100500</v>
      </c>
      <c r="E25" s="19" t="s">
        <v>4527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4525</v>
      </c>
      <c r="B26" s="18">
        <v>-68670</v>
      </c>
      <c r="C26" s="18">
        <v>0</v>
      </c>
      <c r="D26" s="113">
        <f t="shared" si="0"/>
        <v>-68670</v>
      </c>
      <c r="E26" s="19" t="s">
        <v>4531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4528</v>
      </c>
      <c r="B27" s="18">
        <v>-118600</v>
      </c>
      <c r="C27" s="18">
        <v>0</v>
      </c>
      <c r="D27" s="113">
        <f t="shared" si="0"/>
        <v>-118600</v>
      </c>
      <c r="E27" s="19" t="s">
        <v>4533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4539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4539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4539</v>
      </c>
      <c r="B30" s="18">
        <v>-389000</v>
      </c>
      <c r="C30" s="18">
        <v>0</v>
      </c>
      <c r="D30" s="113">
        <f t="shared" si="0"/>
        <v>-389000</v>
      </c>
      <c r="E30" s="19" t="s">
        <v>4541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4482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4486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4502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4503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4509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4520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4523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4527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4532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4540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K1"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4558</v>
      </c>
      <c r="B1" t="s">
        <v>4561</v>
      </c>
      <c r="C1" t="s">
        <v>4562</v>
      </c>
    </row>
    <row r="2" spans="1:3">
      <c r="A2" t="s">
        <v>4559</v>
      </c>
      <c r="B2" t="s">
        <v>4563</v>
      </c>
      <c r="C2" t="s">
        <v>4564</v>
      </c>
    </row>
    <row r="3" spans="1:3">
      <c r="A3" t="s">
        <v>4560</v>
      </c>
      <c r="B3" t="s">
        <v>4562</v>
      </c>
      <c r="C3" t="s">
        <v>4565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2019-01-14T11:59:51Z</dcterms:modified>
</cp:coreProperties>
</file>