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6" activeTab="40"/>
  </bookViews>
  <sheets>
    <sheet name="مهر97" sheetId="4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شهریور97" sheetId="46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D54" i="48" l="1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C267" i="20"/>
  <c r="B267" i="20" l="1"/>
  <c r="AP21" i="18" l="1"/>
  <c r="N21" i="18" l="1"/>
  <c r="B5" i="33"/>
  <c r="N19" i="18" l="1"/>
  <c r="P37" i="18"/>
  <c r="N37" i="18" s="1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2" i="18"/>
  <c r="S33" i="18"/>
  <c r="S34" i="18" s="1"/>
  <c r="B29" i="46"/>
  <c r="G27" i="46"/>
  <c r="H27" i="46"/>
  <c r="I27" i="46"/>
  <c r="D27" i="46"/>
  <c r="L19" i="18"/>
  <c r="N23" i="18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77" i="18" l="1"/>
  <c r="AK76" i="18"/>
  <c r="AK79" i="18"/>
  <c r="AK74" i="18"/>
  <c r="AK78" i="18"/>
  <c r="AK75" i="18"/>
  <c r="AK72" i="18"/>
  <c r="AK7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N35" i="18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Q26" i="18" l="1"/>
  <c r="P26" i="18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Q63" i="18" l="1"/>
  <c r="P42" i="18" l="1"/>
  <c r="P43" i="18" s="1"/>
  <c r="N43" i="18" s="1"/>
  <c r="N34" i="18"/>
  <c r="N20" i="18"/>
  <c r="Q56" i="18" s="1"/>
  <c r="AH80" i="18" l="1"/>
  <c r="N42" i="18" l="1"/>
  <c r="N33" i="18" l="1"/>
  <c r="Q36" i="18" s="1"/>
  <c r="AH86" i="18" l="1"/>
  <c r="AH87" i="18" s="1"/>
  <c r="AK70" i="18"/>
  <c r="AK71" i="18"/>
  <c r="AJ68" i="18" l="1"/>
  <c r="AJ67" i="18" s="1"/>
  <c r="AK68" i="18"/>
  <c r="U41" i="18"/>
  <c r="AK69" i="18" l="1"/>
  <c r="AJ66" i="18"/>
  <c r="AK67" i="18"/>
  <c r="Q59" i="18"/>
  <c r="AJ65" i="18" l="1"/>
  <c r="AK66" i="18"/>
  <c r="AC15" i="33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U32" i="18" l="1"/>
  <c r="AJ56" i="18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H3" i="44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H4" i="44"/>
  <c r="D6" i="44" s="1"/>
  <c r="C9" i="44" s="1"/>
  <c r="D64" i="43"/>
  <c r="I33" i="48" l="1"/>
  <c r="D27" i="48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80" i="18" l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Q55" i="18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67" i="20" l="1"/>
  <c r="I119" i="20"/>
  <c r="K119" i="20"/>
  <c r="J116" i="20"/>
  <c r="E49" i="13"/>
  <c r="G50" i="13"/>
  <c r="I126" i="20"/>
  <c r="N17" i="18" l="1"/>
  <c r="N45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s="1"/>
  <c r="L45" i="18" l="1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2" i="18" l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<sst xmlns="http://schemas.openxmlformats.org/spreadsheetml/2006/main" count="9060" uniqueCount="4290">
  <si>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</si>
  <si>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</si>
  <si>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</si>
  <si>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</si>
  <si>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</si>
  <si>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</si>
  <si>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</si>
  <si>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</si>
  <si>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</si>
  <si>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</si>
  <si>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</si>
  <si>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</si>
  <si>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</si>
  <si>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</si>
  <si>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</si>
  <si>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</si>
  <si>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</si>
  <si>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</si>
  <si>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</si>
  <si>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</si>
  <si>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</si>
  <si>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</si>
  <si>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</si>
  <si>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</si>
  <si>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</si>
  <si>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</si>
  <si>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</si>
  <si>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</si>
  <si>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</si>
  <si>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</si>
  <si>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</si>
  <si>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</si>
  <si>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</si>
  <si>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</si>
  <si>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</si>
  <si>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</si>
  <si>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</si>
  <si>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</si>
  <si>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</si>
  <si>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</si>
  <si>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</si>
  <si>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</si>
  <si>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</si>
  <si>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</si>
  <si>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</si>
  <si>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</si>
  <si>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</si>
  <si>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</si>
  <si>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</si>
  <si>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</si>
  <si>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</si>
  <si>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</si>
  <si>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</si>
  <si>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</si>
  <si>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</si>
  <si>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</si>
  <si>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</si>
  <si>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</si>
  <si>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</si>
  <si>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</si>
  <si>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</si>
  <si>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</si>
  <si>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</si>
  <si>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</si>
  <si>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</si>
  <si>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</si>
  <si>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</si>
  <si>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</si>
  <si>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</si>
  <si>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</si>
  <si>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</si>
  <si>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</si>
  <si>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</si>
  <si>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</si>
  <si>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</si>
  <si>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</si>
  <si>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</si>
  <si>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</si>
  <si>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</si>
  <si>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</si>
  <si>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</si>
  <si>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</si>
  <si>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</si>
  <si>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</si>
  <si>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</si>
  <si>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</si>
  <si>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</si>
  <si>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</si>
  <si>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</si>
  <si>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</si>
  <si>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</si>
  <si>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</si>
  <si>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</si>
  <si>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</si>
  <si>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</si>
  <si>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</si>
  <si>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</si>
  <si>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</si>
  <si>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</si>
  <si>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</si>
  <si>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</si>
  <si>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</si>
  <si>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</si>
  <si>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</si>
  <si>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</si>
  <si>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</si>
  <si>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</si>
  <si>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</si>
  <si>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</si>
  <si>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</si>
  <si>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</si>
  <si>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</si>
  <si>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</si>
  <si>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</si>
  <si>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</si>
  <si>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</si>
  <si>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</si>
  <si>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</si>
  <si>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</si>
  <si>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</si>
  <si>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</si>
  <si>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</si>
  <si>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</si>
  <si>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</si>
  <si>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</si>
  <si>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</si>
  <si>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</si>
  <si>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</si>
  <si>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</si>
  <si>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</si>
  <si>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</si>
  <si>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</si>
  <si>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</si>
  <si>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</si>
  <si>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</si>
  <si>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</si>
  <si>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</si>
  <si>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</si>
  <si>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</si>
  <si>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</si>
  <si>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</si>
  <si>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</si>
  <si>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</si>
  <si>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</si>
  <si>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</si>
  <si>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</si>
  <si>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</si>
  <si>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</si>
  <si>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</si>
  <si>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</si>
  <si>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</si>
  <si>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</si>
  <si>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</si>
  <si>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</si>
  <si>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</si>
  <si>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</si>
  <si>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</si>
  <si>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</si>
  <si>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</si>
  <si>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</si>
  <si>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</si>
  <si>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</si>
  <si>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</si>
  <si>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</si>
  <si>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</si>
  <si>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</si>
  <si>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</si>
  <si>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</si>
  <si>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</si>
  <si>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</si>
  <si>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</si>
  <si>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</si>
  <si>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</si>
  <si>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</si>
  <si>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</si>
  <si>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</si>
  <si>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</si>
  <si>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</si>
  <si>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</si>
  <si>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</si>
  <si>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</si>
  <si>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</si>
  <si>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</si>
  <si>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</si>
  <si>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</si>
  <si>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</si>
  <si>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</si>
  <si>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</si>
  <si>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</si>
  <si>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</si>
  <si>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</si>
  <si>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</si>
  <si>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</si>
  <si>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</si>
  <si>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</si>
  <si>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</si>
  <si>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</si>
  <si>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</si>
  <si>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</si>
  <si>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</si>
  <si>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</si>
  <si>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</si>
  <si>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</si>
  <si>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</si>
  <si>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</si>
  <si>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</si>
  <si>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</si>
  <si>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</si>
  <si>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</si>
  <si>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</si>
  <si>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</si>
  <si>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</si>
  <si>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</si>
  <si>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</si>
  <si>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</si>
  <si>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</si>
  <si>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</si>
  <si>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</si>
  <si>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</si>
  <si>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</si>
  <si>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</si>
  <si>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</si>
  <si>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</si>
  <si>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</si>
  <si>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</si>
  <si>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</si>
  <si>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</si>
  <si>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</si>
  <si>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</si>
  <si>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</si>
  <si>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</si>
  <si>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</si>
  <si>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</si>
  <si>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</si>
  <si>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</si>
  <si>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</si>
  <si>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</si>
  <si>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</si>
  <si>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</si>
  <si>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</si>
  <si>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</si>
  <si>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</si>
  <si>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</si>
  <si>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</si>
  <si>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</si>
  <si>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</si>
  <si>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</si>
  <si>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</si>
  <si>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</si>
  <si>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</si>
  <si>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</si>
  <si>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</si>
  <si>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</si>
  <si>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</si>
  <si>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</si>
  <si>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</si>
  <si>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</si>
  <si>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</si>
  <si>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</si>
  <si>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</si>
  <si>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</si>
  <si>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</si>
  <si>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</si>
  <si>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</si>
  <si>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</si>
  <si>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</si>
  <si>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</si>
  <si>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</si>
  <si>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</si>
  <si>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</si>
  <si>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</si>
  <si>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</si>
  <si>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</si>
  <si>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</si>
  <si>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</si>
  <si>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</si>
  <si>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</si>
  <si>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</si>
  <si>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</si>
  <si>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</si>
  <si>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</si>
  <si>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</si>
  <si>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</si>
  <si>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</si>
  <si>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</si>
  <si>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</si>
  <si>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</si>
  <si>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</si>
  <si>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</si>
  <si>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</si>
  <si>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</si>
  <si>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</si>
  <si>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</si>
  <si>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</si>
  <si>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</si>
  <si>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</si>
  <si>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</si>
  <si>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</si>
  <si>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</si>
  <si>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</si>
  <si>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</si>
  <si>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</si>
  <si>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</si>
  <si>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</si>
  <si>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</si>
  <si>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</si>
  <si>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</si>
  <si>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</si>
  <si>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</si>
  <si>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</si>
  <si>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</si>
  <si>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</si>
  <si>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</si>
  <si>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</si>
  <si>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</si>
  <si>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</si>
  <si>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</si>
  <si>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</si>
  <si>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</si>
  <si>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</si>
  <si>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</si>
  <si>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</si>
  <si>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</si>
  <si>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</si>
  <si>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</si>
  <si>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</si>
  <si>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</si>
  <si>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</si>
  <si>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</si>
  <si>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</si>
  <si>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</si>
  <si>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</si>
  <si>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</si>
  <si>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</si>
  <si>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</si>
  <si>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</si>
  <si>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</si>
  <si>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</si>
  <si>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</si>
  <si>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</si>
  <si>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</si>
  <si>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</si>
  <si>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</si>
  <si>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</si>
  <si>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</si>
  <si>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</si>
  <si>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</si>
  <si>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</si>
  <si>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</si>
  <si>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</si>
  <si>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</si>
  <si>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</si>
  <si>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</si>
  <si>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</si>
  <si>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</si>
  <si>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</si>
  <si>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</si>
  <si>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</si>
  <si>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</si>
  <si>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</si>
  <si>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</si>
  <si>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</si>
  <si>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</si>
  <si>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</si>
  <si>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</si>
  <si>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</si>
  <si>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</si>
  <si>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</si>
  <si>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</si>
  <si>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</si>
  <si>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</si>
  <si>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</si>
  <si>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</si>
  <si>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</si>
  <si>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</si>
  <si>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</si>
  <si>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</si>
  <si>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</si>
  <si>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</si>
  <si>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</si>
  <si>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</si>
  <si>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</si>
  <si>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</si>
  <si>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</si>
  <si>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</si>
  <si>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</si>
  <si>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</si>
  <si>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</si>
  <si>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</si>
  <si>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</si>
  <si>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</si>
  <si>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</si>
  <si>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</si>
  <si>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</si>
  <si>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</si>
  <si>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</si>
  <si>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</si>
  <si>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</si>
  <si>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</si>
  <si>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</si>
  <si>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</si>
  <si>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</si>
  <si>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</si>
  <si>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</si>
  <si>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</si>
  <si>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</si>
  <si>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</si>
  <si>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</si>
  <si>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</si>
  <si>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</si>
  <si>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</si>
  <si>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</si>
  <si>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</si>
  <si>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</si>
  <si>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</si>
  <si>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</si>
  <si>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</si>
  <si>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</si>
  <si>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</si>
  <si>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</si>
  <si>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</si>
  <si>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</si>
  <si>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</si>
  <si>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</si>
  <si>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</si>
  <si>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</si>
  <si>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</si>
  <si>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</si>
  <si>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</si>
  <si>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</si>
  <si>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</si>
  <si>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</si>
  <si>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</si>
  <si>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</si>
  <si>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</si>
  <si>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</si>
  <si>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</si>
  <si>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</si>
  <si>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</si>
  <si>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</si>
  <si>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</si>
  <si>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</si>
  <si>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</si>
  <si>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</si>
  <si>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</si>
  <si>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</si>
  <si>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</si>
  <si>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</si>
  <si>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</si>
  <si>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</si>
  <si>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</si>
  <si>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</si>
  <si>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</si>
  <si>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</si>
  <si>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</si>
  <si>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</si>
  <si>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</si>
  <si>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</si>
  <si>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</si>
  <si>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</si>
  <si>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</si>
  <si>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</si>
  <si>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</si>
  <si>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</si>
  <si>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</si>
  <si>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</si>
  <si>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</si>
  <si>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</si>
  <si>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</si>
  <si>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</si>
  <si>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</si>
  <si>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</si>
  <si>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</si>
  <si>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</si>
  <si>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</si>
  <si>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</si>
  <si>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</si>
  <si>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</si>
  <si>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</si>
  <si>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</si>
  <si>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</si>
  <si>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</si>
  <si>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</si>
  <si>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</si>
  <si>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</si>
  <si>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</si>
  <si>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</si>
  <si>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</si>
  <si>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</si>
  <si>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</si>
  <si>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</si>
  <si>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</si>
  <si>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</si>
  <si>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</si>
  <si>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</si>
  <si>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</si>
  <si>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</si>
  <si>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</si>
  <si>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</si>
  <si>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</si>
  <si>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</si>
  <si>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</si>
  <si>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</si>
  <si>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</si>
  <si>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</si>
  <si>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</si>
  <si>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</si>
  <si>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</si>
  <si>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</si>
  <si>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</si>
  <si>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</si>
  <si>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</si>
  <si>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</si>
  <si>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</si>
  <si>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</si>
  <si>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</si>
  <si>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</si>
  <si>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</si>
  <si>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</si>
  <si>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</si>
  <si>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</si>
  <si>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</si>
  <si>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</si>
  <si>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</si>
  <si>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</si>
  <si>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</si>
  <si>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</si>
  <si>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</si>
  <si>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</si>
  <si>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</si>
  <si>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</si>
  <si>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</si>
  <si>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</si>
  <si>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</si>
  <si>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</si>
  <si>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</si>
  <si>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</si>
  <si>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</si>
  <si>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</si>
  <si>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</si>
  <si>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</si>
  <si>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</si>
  <si>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</si>
  <si>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</si>
  <si>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</si>
  <si>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</si>
  <si>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</si>
  <si>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</si>
  <si>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</si>
  <si>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</si>
  <si>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</si>
  <si>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</si>
  <si>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</si>
  <si>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</si>
  <si>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</si>
  <si>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</si>
  <si>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</si>
  <si>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</si>
  <si>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</si>
  <si>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</si>
  <si>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</si>
  <si>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</si>
  <si>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</si>
  <si>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</si>
  <si>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</si>
  <si>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</si>
  <si>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</si>
  <si>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</si>
  <si>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</si>
  <si>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</si>
  <si>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</si>
  <si>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</si>
  <si>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</si>
  <si>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</si>
  <si>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</si>
  <si>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</si>
  <si>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</si>
  <si>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</si>
  <si>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</si>
  <si>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</si>
  <si>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</si>
  <si>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</si>
  <si>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</si>
  <si>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</si>
  <si>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</si>
  <si>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</si>
  <si>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</si>
  <si>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</si>
  <si>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</si>
  <si>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</si>
  <si>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</si>
  <si>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</si>
  <si>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</si>
  <si>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</si>
  <si>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</si>
  <si>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</si>
  <si>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</si>
  <si>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</si>
  <si>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</si>
  <si>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</si>
  <si>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</si>
  <si>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</si>
  <si>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</si>
  <si>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</si>
  <si>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</si>
  <si>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</si>
  <si>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</si>
  <si>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</si>
  <si>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</si>
  <si>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</si>
  <si>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</si>
  <si>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</si>
  <si>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</si>
  <si>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</si>
  <si>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</si>
  <si>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</si>
  <si>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</si>
  <si>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</si>
  <si>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</si>
  <si>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</si>
  <si>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</si>
  <si>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</si>
  <si>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</si>
  <si>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</si>
  <si>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</si>
  <si>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</si>
  <si>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</si>
  <si>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</si>
  <si>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</si>
  <si>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</si>
  <si>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</si>
  <si>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</si>
  <si>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</si>
  <si>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</si>
  <si>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</si>
  <si>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</si>
  <si>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</si>
  <si>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</si>
  <si>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</si>
  <si>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</si>
  <si>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</si>
  <si>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</si>
  <si>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</si>
  <si>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</si>
  <si>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</si>
  <si>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</si>
  <si>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</si>
  <si>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</si>
  <si>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</si>
  <si>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</si>
  <si>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</si>
  <si>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</si>
  <si>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</si>
  <si>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</si>
  <si>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</si>
  <si>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</si>
  <si>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</si>
  <si>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</si>
  <si>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</si>
  <si>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</si>
  <si>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</si>
  <si>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</si>
  <si>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</si>
  <si>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</si>
  <si>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</si>
  <si>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</si>
  <si>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</si>
  <si>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</si>
  <si>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</si>
  <si>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</si>
  <si>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</si>
  <si>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</si>
  <si>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</si>
  <si>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</si>
  <si>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</si>
  <si>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</si>
  <si>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</si>
  <si>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</si>
  <si>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</si>
  <si>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</si>
  <si>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</si>
  <si>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</si>
  <si>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</si>
  <si>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</si>
  <si>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</si>
  <si>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</si>
  <si>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</si>
  <si>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</si>
  <si>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</si>
  <si>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</si>
  <si>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</si>
  <si>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</si>
  <si>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</si>
  <si>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</si>
  <si>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</si>
  <si>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</si>
  <si>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</si>
  <si>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</si>
  <si>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</si>
  <si>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</si>
  <si>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</si>
  <si>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</si>
  <si>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</si>
  <si>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</si>
  <si>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</si>
  <si>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</si>
  <si>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</si>
  <si>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</si>
  <si>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</si>
  <si>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</si>
  <si>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</si>
  <si>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</si>
  <si>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</si>
  <si>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</si>
  <si>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</si>
  <si>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</si>
  <si>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</si>
  <si>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</si>
  <si>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</si>
  <si>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</si>
  <si>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</si>
  <si>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</si>
  <si>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</si>
  <si>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</si>
  <si>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</si>
  <si>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</si>
  <si>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</si>
  <si>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</si>
  <si>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</si>
  <si>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</si>
  <si>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</si>
  <si>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</si>
  <si>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</si>
  <si>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</si>
  <si>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</si>
  <si>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</si>
  <si>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</si>
  <si>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</si>
  <si>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</si>
  <si>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</si>
  <si>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</si>
  <si>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</si>
  <si>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</si>
  <si>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</si>
  <si>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</si>
  <si>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</si>
  <si>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</si>
  <si>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</si>
  <si>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</si>
  <si>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</si>
  <si>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</si>
  <si>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</si>
  <si>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</si>
  <si>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</si>
  <si>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</si>
  <si>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</si>
  <si>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</si>
  <si>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</si>
  <si>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</si>
  <si>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</si>
  <si>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</si>
  <si>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</si>
  <si>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</si>
  <si>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</si>
  <si>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</si>
  <si>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</si>
  <si>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</si>
  <si>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</si>
  <si>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</si>
  <si>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</si>
  <si>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</si>
  <si>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</si>
  <si>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</si>
  <si>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</si>
  <si>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</si>
  <si>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</si>
  <si>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</si>
  <si>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</si>
  <si>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</si>
  <si>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</si>
  <si>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</si>
  <si>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</si>
  <si>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</si>
  <si>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</si>
  <si>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</si>
  <si>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</si>
  <si>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</si>
  <si>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</si>
  <si>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</si>
  <si>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</si>
  <si>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</si>
  <si>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</si>
  <si>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</si>
  <si>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</si>
  <si>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</si>
  <si>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</si>
  <si>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</si>
  <si>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</si>
  <si>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</si>
  <si>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</si>
  <si>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</si>
  <si>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</si>
  <si>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</si>
  <si>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</si>
  <si>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</si>
  <si>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</si>
  <si>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</si>
  <si>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</si>
  <si>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</si>
  <si>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</si>
  <si>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</si>
  <si>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</si>
  <si>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</si>
  <si>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</si>
  <si>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</si>
  <si>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</si>
  <si>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</si>
  <si>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</si>
  <si>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</si>
  <si>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</si>
  <si>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</si>
  <si>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</si>
  <si>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</si>
  <si>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</si>
  <si>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</si>
  <si>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</si>
  <si>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</si>
  <si>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</si>
  <si>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</si>
  <si>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</si>
  <si>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</si>
  <si>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</si>
  <si>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</si>
  <si>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</si>
  <si>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</si>
  <si>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</si>
  <si>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</si>
  <si>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</si>
  <si>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</si>
  <si>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</si>
  <si>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</si>
  <si>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</si>
  <si>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</si>
  <si>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</si>
  <si>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</si>
  <si>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</si>
  <si>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</si>
  <si>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</si>
  <si>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</si>
  <si>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</si>
  <si>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</si>
  <si>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</si>
  <si>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</si>
  <si>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</si>
  <si>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</si>
  <si>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</si>
  <si>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</si>
  <si>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</si>
  <si>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</si>
  <si>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</si>
  <si>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</si>
  <si>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</si>
  <si>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</si>
  <si>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</si>
  <si>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</si>
  <si>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</si>
  <si>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</si>
  <si>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</si>
  <si>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</si>
  <si>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</si>
  <si>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</si>
  <si>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</si>
  <si>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</si>
  <si>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</si>
  <si>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</si>
  <si>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</si>
  <si>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</si>
  <si>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</si>
  <si>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</si>
  <si>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</si>
  <si>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</si>
  <si>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</si>
  <si>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</si>
  <si>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</si>
  <si>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</si>
  <si>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</si>
  <si>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</si>
  <si>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</si>
  <si>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</si>
  <si>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</si>
  <si>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</si>
  <si>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</si>
  <si>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</si>
  <si>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</si>
  <si>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</si>
  <si>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</si>
  <si>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</si>
  <si>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</si>
  <si>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</si>
  <si>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</si>
  <si>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</si>
  <si>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</si>
  <si>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</si>
  <si>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</si>
  <si>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</si>
  <si>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</si>
  <si>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</si>
  <si>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</si>
  <si>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</si>
  <si>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</si>
  <si>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</si>
  <si>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</si>
  <si>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</si>
  <si>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</si>
  <si>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</si>
  <si>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</si>
  <si>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</si>
  <si>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</si>
  <si>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</si>
  <si>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</si>
  <si>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</si>
  <si>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</si>
  <si>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</si>
  <si>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</si>
  <si>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</si>
  <si>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</si>
  <si>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</si>
  <si>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</si>
  <si>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</si>
  <si>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</si>
  <si>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</si>
  <si>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</si>
  <si>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</si>
  <si>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</si>
  <si>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</si>
  <si>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</si>
  <si>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</si>
  <si>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</si>
  <si>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</si>
  <si>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</si>
  <si>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</si>
  <si>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</si>
  <si>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</si>
  <si>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</si>
  <si>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</si>
  <si>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</si>
  <si>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</si>
  <si>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</si>
  <si>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</si>
  <si>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</si>
  <si>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</si>
  <si>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</si>
  <si>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</si>
  <si>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</si>
  <si>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</si>
  <si>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</si>
  <si>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</si>
  <si>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</si>
  <si>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</si>
  <si>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</si>
  <si>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</si>
  <si>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</si>
  <si>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</si>
  <si>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</si>
  <si>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</si>
  <si>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</si>
  <si>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</si>
  <si>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</si>
  <si>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</si>
  <si>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</si>
  <si>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</si>
  <si>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</si>
  <si>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</si>
  <si>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</si>
  <si>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</si>
  <si>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</si>
  <si>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</si>
  <si>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</si>
  <si>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</si>
  <si>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</si>
  <si>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</si>
  <si>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</si>
  <si>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</si>
  <si>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</si>
  <si>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</si>
  <si>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</si>
  <si>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</si>
  <si>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</si>
  <si>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</si>
  <si>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</si>
  <si>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</si>
  <si>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</si>
  <si>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</si>
  <si>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</si>
  <si>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</si>
  <si>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</si>
  <si>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</si>
  <si>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</si>
  <si>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</si>
  <si>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</si>
  <si>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</si>
  <si>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</si>
  <si>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</si>
  <si>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</si>
  <si>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</si>
  <si>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</si>
  <si>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</si>
  <si>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</si>
  <si>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</si>
  <si>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</si>
  <si>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</si>
  <si>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</si>
  <si>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</si>
  <si>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</si>
  <si>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</si>
  <si>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</si>
  <si>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</si>
  <si>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</si>
  <si>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</si>
  <si>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</si>
  <si>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</si>
  <si>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</si>
  <si>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</si>
  <si>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</si>
  <si>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</si>
  <si>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</si>
  <si>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</si>
  <si>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</si>
  <si>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</si>
  <si>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</si>
  <si>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</si>
  <si>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</si>
  <si>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</si>
  <si>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</si>
  <si>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</si>
  <si>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</si>
  <si>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</si>
  <si>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</si>
  <si>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</si>
  <si>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</si>
  <si>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</si>
  <si>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</si>
  <si>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</si>
  <si>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</si>
  <si>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</si>
  <si>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</si>
  <si>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</si>
  <si>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</si>
  <si>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</si>
  <si>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</si>
  <si>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</si>
  <si>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</si>
  <si>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</si>
  <si>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</si>
  <si>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</si>
  <si>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</si>
  <si>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</si>
  <si>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</si>
  <si>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</si>
  <si>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</si>
  <si>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</si>
  <si>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</si>
  <si>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</si>
  <si>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</si>
  <si>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</si>
  <si>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</si>
  <si>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</si>
  <si>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</si>
  <si>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</si>
  <si>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</si>
  <si>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</si>
  <si>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</si>
  <si>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</si>
  <si>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</si>
  <si>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</si>
  <si>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</si>
  <si>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</si>
  <si>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</si>
  <si>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</si>
  <si>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</si>
  <si>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</si>
  <si>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</si>
  <si>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</si>
  <si>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</si>
  <si>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</si>
  <si>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</si>
  <si>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</si>
  <si>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</si>
  <si>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</si>
  <si>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</si>
  <si>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</si>
  <si>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</si>
  <si>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</si>
  <si>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</si>
  <si>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</si>
  <si>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</si>
  <si>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</si>
  <si>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</si>
  <si>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</si>
  <si>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</si>
  <si>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</si>
  <si>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</si>
  <si>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</si>
  <si>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</si>
  <si>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</si>
  <si>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</si>
  <si>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</si>
  <si>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</si>
  <si>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</si>
  <si>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</si>
  <si>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</si>
  <si>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</si>
  <si>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</si>
  <si>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</si>
  <si>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</si>
  <si>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</si>
  <si>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</si>
  <si>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</si>
  <si>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</si>
  <si>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</si>
  <si>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</si>
  <si>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</si>
  <si>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</si>
  <si>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</si>
  <si>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</si>
  <si>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</si>
  <si>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</si>
  <si>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</si>
  <si>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</si>
  <si>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</si>
  <si>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</si>
  <si>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</si>
  <si>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</si>
  <si>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</si>
  <si>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</si>
  <si>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</si>
  <si>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</si>
  <si>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</si>
  <si>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</si>
  <si>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</si>
  <si>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</si>
  <si>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</si>
  <si>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</si>
  <si>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</si>
  <si>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</si>
  <si>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</si>
  <si>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</si>
  <si>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</si>
  <si>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</si>
  <si>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</si>
  <si>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</si>
  <si>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</si>
  <si>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</si>
  <si>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</si>
  <si>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</si>
  <si>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</si>
  <si>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</si>
  <si>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</si>
  <si>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</si>
  <si>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</si>
  <si>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</si>
  <si>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</si>
  <si>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</si>
  <si>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</si>
  <si>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</si>
  <si>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</si>
  <si>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</si>
  <si>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</si>
  <si>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</si>
  <si>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</si>
  <si>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</si>
  <si>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</si>
  <si>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</si>
  <si>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</si>
  <si>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</si>
  <si>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</si>
  <si>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</si>
  <si>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</si>
  <si>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</si>
  <si>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</si>
  <si>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</si>
  <si>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</si>
  <si>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</si>
  <si>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</si>
  <si>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</si>
  <si>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</si>
  <si>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</si>
  <si>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</si>
  <si>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</si>
  <si>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</si>
  <si>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</si>
  <si>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</si>
  <si>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</si>
  <si>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</si>
  <si>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</si>
  <si>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</si>
  <si>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</si>
  <si>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</si>
  <si>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</si>
  <si>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</si>
  <si>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</si>
  <si>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</si>
  <si>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</si>
  <si>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</si>
  <si>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</si>
  <si>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</si>
  <si>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</si>
  <si>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</si>
  <si>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</si>
  <si>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</si>
  <si>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</si>
  <si>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</si>
  <si>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</si>
  <si>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</si>
  <si>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</si>
  <si>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</si>
  <si>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</si>
  <si>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</si>
  <si>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</si>
  <si>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</si>
  <si>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</si>
  <si>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</si>
  <si>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</si>
  <si>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</si>
  <si>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</si>
  <si>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</si>
  <si>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</si>
  <si>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</si>
  <si>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</si>
  <si>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</si>
  <si>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</si>
  <si>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</si>
  <si>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</si>
  <si>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</si>
  <si>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</si>
  <si>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</si>
  <si>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</si>
  <si>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</si>
  <si>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</si>
  <si>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</si>
  <si>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</si>
  <si>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</si>
  <si>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</si>
  <si>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</si>
  <si>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</si>
  <si>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</si>
  <si>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</si>
  <si>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</si>
  <si>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</si>
  <si>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</si>
  <si>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</si>
  <si>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</si>
  <si>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</si>
  <si>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</si>
  <si>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</si>
  <si>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</si>
  <si>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</si>
  <si>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</si>
  <si>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</si>
  <si>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</si>
  <si>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</si>
  <si>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</si>
  <si>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</si>
  <si>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</si>
  <si>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</si>
  <si>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</si>
  <si>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</si>
  <si>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</si>
  <si>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</si>
  <si>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</si>
  <si>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</si>
  <si>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</si>
  <si>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</si>
  <si>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</si>
  <si>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</si>
  <si>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</si>
  <si>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</si>
  <si>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</si>
  <si>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</si>
  <si>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</si>
  <si>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</si>
  <si>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</si>
  <si>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</si>
  <si>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</si>
  <si>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</si>
  <si>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</si>
  <si>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</si>
  <si>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</si>
  <si>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</si>
  <si>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</si>
  <si>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</si>
  <si>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</si>
  <si>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</si>
  <si>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</si>
  <si>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</si>
  <si>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</si>
  <si>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</si>
  <si>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</si>
  <si>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</si>
  <si>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</si>
  <si>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</si>
  <si>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</si>
  <si>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</si>
  <si>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</si>
  <si>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</si>
  <si>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</si>
  <si>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</si>
  <si>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</si>
  <si>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</si>
  <si>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</si>
  <si>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</si>
  <si>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</si>
  <si>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</si>
  <si>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</si>
  <si>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</si>
  <si>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</si>
  <si>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</si>
  <si>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</si>
  <si>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</si>
  <si>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</si>
  <si>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</si>
  <si>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</si>
  <si>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</si>
  <si>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</si>
  <si>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</si>
  <si>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</si>
  <si>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</si>
  <si>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</si>
  <si>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</si>
  <si>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</si>
  <si>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</si>
  <si>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</si>
  <si>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</si>
  <si>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</si>
  <si>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</si>
  <si>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</si>
  <si>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</si>
  <si>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</si>
  <si>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</si>
  <si>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</si>
  <si>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</si>
  <si>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</si>
  <si>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</si>
  <si>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</si>
  <si>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</si>
  <si>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</si>
  <si>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</si>
  <si>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</si>
  <si>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</si>
  <si>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</si>
  <si>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</si>
  <si>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</si>
  <si>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</si>
  <si>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</si>
  <si>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</si>
  <si>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</si>
  <si>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</si>
  <si>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</si>
  <si>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</si>
  <si>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</si>
  <si>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</si>
  <si>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</si>
  <si>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</si>
  <si>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</si>
  <si>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</si>
  <si>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</si>
  <si>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</si>
  <si>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</si>
  <si>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</si>
  <si>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</si>
  <si>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</si>
  <si>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</si>
  <si>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</si>
  <si>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</si>
  <si>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</si>
  <si>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</si>
  <si>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</si>
  <si>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</si>
  <si>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</si>
  <si>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</si>
  <si>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</si>
  <si>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</si>
  <si>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</si>
  <si>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</si>
  <si>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</si>
  <si>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</si>
  <si>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</si>
  <si>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</si>
  <si>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</si>
  <si>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</si>
  <si>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</si>
  <si>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</si>
  <si>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</si>
  <si>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</si>
  <si>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</si>
  <si>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</si>
  <si>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</si>
  <si>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</si>
  <si>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</si>
  <si>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</si>
  <si>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</si>
  <si>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</si>
  <si>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</si>
  <si>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</si>
  <si>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</si>
  <si>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</si>
  <si>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</si>
  <si>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</si>
  <si>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</si>
  <si>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</si>
  <si>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</si>
  <si>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</si>
  <si>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</si>
  <si>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</si>
  <si>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</si>
  <si>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</si>
  <si>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</si>
  <si>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</si>
  <si>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</si>
  <si>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</si>
  <si>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</si>
  <si>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</si>
  <si>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</si>
  <si>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</si>
  <si>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</si>
  <si>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</si>
  <si>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</si>
  <si>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</si>
  <si>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</si>
  <si>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</si>
  <si>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</si>
  <si>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</si>
  <si>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</si>
  <si>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</si>
  <si>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</si>
  <si>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</si>
  <si>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</si>
  <si>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</si>
  <si>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</si>
  <si>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</si>
  <si>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</si>
  <si>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</si>
  <si>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</si>
  <si>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</si>
  <si>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</si>
  <si>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</si>
  <si>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</si>
  <si>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</si>
  <si>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</si>
  <si>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</si>
  <si>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</si>
  <si>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</si>
  <si>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</si>
  <si>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</si>
  <si>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</si>
  <si>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</si>
  <si>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</si>
  <si>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</si>
  <si>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</si>
  <si>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</si>
  <si>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</si>
  <si>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</si>
  <si>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</si>
  <si>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</si>
  <si>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</si>
  <si>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</si>
  <si>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</si>
  <si>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</si>
  <si>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</si>
  <si>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</si>
  <si>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</si>
  <si>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</si>
  <si>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</si>
  <si>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</si>
  <si>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</si>
  <si>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</si>
  <si>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</si>
  <si>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</si>
  <si>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</si>
  <si>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</si>
  <si>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</si>
  <si>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</si>
  <si>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</si>
  <si>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</si>
  <si>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</si>
  <si>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</si>
  <si>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</si>
  <si>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</si>
  <si>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</si>
  <si>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</si>
  <si>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</si>
  <si>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</si>
  <si>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</si>
  <si>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</si>
  <si>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</si>
  <si>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</si>
  <si>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</si>
  <si>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</si>
  <si>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</si>
  <si>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</si>
  <si>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</si>
  <si>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</si>
  <si>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</si>
  <si>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</si>
  <si>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</si>
  <si>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</si>
  <si>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</si>
  <si>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</si>
  <si>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</si>
  <si>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</si>
  <si>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</si>
  <si>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</si>
  <si>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</si>
  <si>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</si>
  <si>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</si>
  <si>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</si>
  <si>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</si>
  <si>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</si>
  <si>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</si>
  <si>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</si>
  <si>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</si>
  <si>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</si>
  <si>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</si>
  <si>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</si>
  <si>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</si>
  <si>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</si>
  <si>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</si>
  <si>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</si>
  <si>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</si>
  <si>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</si>
  <si>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</si>
  <si>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</si>
  <si>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</si>
  <si>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</si>
  <si>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</si>
  <si>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</si>
  <si>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</si>
  <si>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</si>
  <si>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</si>
  <si>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</si>
  <si>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</si>
  <si>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</si>
  <si>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</si>
  <si>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</si>
  <si>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</si>
  <si>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</si>
  <si>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</si>
  <si>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</si>
  <si>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</si>
  <si>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</si>
  <si>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</si>
  <si>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</si>
  <si>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</si>
  <si>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</si>
  <si>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</si>
  <si>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</si>
  <si>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</si>
  <si>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</si>
  <si>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</si>
  <si>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</si>
  <si>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</si>
  <si>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</si>
  <si>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</si>
  <si>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</si>
  <si>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</si>
  <si>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</si>
  <si>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</si>
  <si>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</si>
  <si>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</si>
  <si>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</si>
  <si>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</si>
  <si>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</si>
  <si>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</si>
  <si>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</si>
  <si>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</si>
  <si>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</si>
  <si>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</si>
  <si>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</si>
  <si>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</si>
  <si>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</si>
  <si>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</si>
  <si>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</si>
  <si>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</si>
  <si>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</si>
  <si>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</si>
  <si>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</si>
  <si>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</si>
  <si>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</si>
  <si>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</si>
  <si>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</si>
  <si>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</si>
  <si>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</si>
  <si>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</si>
  <si>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</si>
  <si>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</si>
  <si>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</si>
  <si>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</si>
  <si>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</si>
  <si>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</si>
  <si>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</si>
  <si>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</si>
  <si>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</si>
  <si>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</si>
  <si>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</si>
  <si>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</si>
  <si>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</si>
  <si>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</si>
  <si>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</si>
  <si>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</si>
  <si>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</si>
  <si>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</si>
  <si>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</si>
  <si>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</si>
  <si>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</si>
  <si>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</si>
  <si>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</si>
  <si>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</si>
  <si>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</si>
  <si>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</si>
  <si>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</si>
  <si>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</si>
  <si>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</si>
  <si>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</si>
  <si>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</si>
  <si>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</si>
  <si>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</si>
  <si>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</si>
  <si>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</si>
  <si>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</si>
  <si>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</si>
  <si>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</si>
  <si>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</si>
  <si>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</si>
  <si>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</si>
  <si>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</si>
  <si>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</si>
  <si>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</si>
  <si>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</si>
  <si>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</si>
  <si>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</si>
  <si>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</si>
  <si>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</si>
  <si>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</si>
  <si>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</si>
  <si>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</si>
  <si>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</si>
  <si>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</si>
  <si>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</si>
  <si>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</si>
  <si>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</si>
  <si>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</si>
  <si>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</si>
  <si>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</si>
  <si>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</si>
  <si>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</si>
  <si>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</si>
  <si>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</si>
  <si>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</si>
  <si>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</si>
  <si>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</si>
  <si>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</si>
  <si>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</si>
  <si>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</si>
  <si>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</si>
  <si>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</si>
  <si>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</si>
  <si>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</si>
  <si>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</si>
  <si>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</si>
  <si>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</si>
  <si>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</si>
  <si>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</si>
  <si>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</si>
  <si>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</si>
  <si>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</si>
  <si>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</si>
  <si>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</si>
  <si>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</si>
  <si>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</si>
  <si>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</si>
  <si>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</si>
  <si>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</si>
  <si>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</si>
  <si>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</si>
  <si>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</si>
  <si>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</si>
  <si>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</si>
  <si>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</si>
  <si>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</si>
  <si>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</si>
  <si>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</si>
  <si>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</si>
  <si>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</si>
  <si>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</si>
  <si>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</si>
  <si>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</si>
  <si>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</si>
  <si>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</si>
  <si>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</si>
  <si>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</si>
  <si>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</si>
  <si>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</si>
  <si>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</si>
  <si>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</si>
  <si>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</si>
  <si>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</si>
  <si>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</si>
  <si>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</si>
  <si>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</si>
  <si>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</si>
  <si>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</si>
  <si>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</si>
  <si>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</si>
  <si>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</si>
  <si>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</si>
  <si>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</si>
  <si>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</si>
  <si>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</si>
  <si>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</si>
  <si>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</si>
  <si>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</si>
  <si>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</si>
  <si>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</si>
  <si>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</si>
  <si>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</si>
  <si>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</si>
  <si>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</si>
  <si>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</si>
  <si>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</si>
  <si>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</si>
  <si>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</si>
  <si>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</si>
  <si>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</si>
  <si>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</si>
  <si>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</si>
  <si>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</si>
  <si>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</si>
  <si>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</si>
  <si>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</si>
  <si>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</si>
  <si>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</si>
  <si>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</si>
  <si>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</si>
  <si>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</si>
  <si>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</si>
  <si>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</si>
  <si>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</si>
  <si>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</si>
  <si>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</si>
  <si>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</si>
  <si>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</si>
  <si>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</si>
  <si>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</si>
  <si>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</si>
  <si>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</si>
  <si>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</si>
  <si>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</si>
  <si>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</si>
  <si>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</si>
  <si>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</si>
  <si>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</si>
  <si>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</si>
  <si>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</si>
  <si>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</si>
  <si>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</si>
  <si>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</si>
  <si>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</si>
  <si>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</si>
  <si>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</si>
  <si>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</si>
  <si>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</si>
  <si>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</si>
  <si>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</si>
  <si>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</si>
  <si>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</si>
  <si>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</si>
  <si>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</si>
  <si>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</si>
  <si>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</si>
  <si>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</si>
  <si>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</si>
  <si>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</si>
  <si>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</si>
  <si>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</si>
  <si>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</si>
  <si>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</si>
  <si>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</si>
  <si>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</si>
  <si>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</si>
  <si>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</si>
  <si>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</si>
  <si>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</si>
  <si>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</si>
  <si>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</si>
  <si>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</si>
  <si>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</si>
  <si>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</si>
  <si>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</si>
  <si>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</si>
  <si>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</si>
  <si>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</si>
  <si>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</si>
  <si>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</si>
  <si>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</si>
  <si>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</si>
  <si>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</si>
  <si>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</si>
  <si>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</si>
  <si>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</si>
  <si>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</si>
  <si>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</si>
  <si>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</si>
  <si>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</si>
  <si>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</si>
  <si>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</si>
  <si>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</si>
  <si>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</si>
  <si>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</si>
  <si>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</si>
  <si>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</si>
  <si>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</si>
  <si>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</si>
  <si>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</si>
  <si>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</si>
  <si>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</si>
  <si>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</si>
  <si>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</si>
  <si>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</si>
  <si>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</si>
  <si>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</si>
  <si>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</si>
  <si>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</si>
  <si>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</si>
  <si>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</si>
  <si>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</si>
  <si>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</si>
  <si>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</si>
  <si>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</si>
  <si>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</si>
  <si>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</si>
  <si>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</si>
  <si>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</si>
  <si>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</si>
  <si>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</si>
  <si>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</si>
  <si>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</si>
  <si>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</si>
  <si>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</si>
  <si>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</si>
  <si>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</si>
  <si>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</si>
  <si>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</si>
  <si>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</si>
  <si>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</si>
  <si>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</si>
  <si>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</si>
  <si>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</si>
  <si>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</si>
  <si>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</si>
  <si>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</si>
  <si>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</si>
  <si>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</si>
  <si>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</si>
  <si>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</si>
  <si>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</si>
  <si>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</si>
  <si>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</si>
  <si>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</si>
  <si>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</si>
  <si>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</si>
  <si>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</si>
  <si>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</si>
  <si>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</si>
  <si>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</si>
  <si>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</si>
  <si>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</si>
  <si>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</si>
  <si>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</si>
  <si>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</si>
  <si>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</si>
  <si>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</si>
  <si>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</si>
  <si>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</si>
  <si>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</si>
  <si>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</si>
  <si>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</si>
  <si>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</si>
  <si>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</si>
  <si>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</si>
  <si>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</si>
  <si>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</si>
  <si>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</si>
  <si>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</si>
  <si>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</si>
  <si>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</si>
  <si>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</si>
  <si>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</si>
  <si>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</si>
  <si>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</si>
  <si>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</si>
  <si>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</si>
  <si>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</si>
  <si>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</si>
  <si>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</si>
  <si>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</si>
  <si>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</si>
  <si>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</si>
  <si>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</si>
  <si>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</si>
  <si>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</si>
  <si>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</si>
  <si>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</si>
  <si>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</si>
  <si>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</si>
  <si>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</si>
  <si>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</si>
  <si>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</si>
  <si>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</si>
  <si>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</si>
  <si>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</si>
  <si>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</si>
  <si>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</si>
  <si>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</si>
  <si>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</si>
  <si>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</si>
  <si>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</si>
  <si>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</si>
  <si>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</si>
  <si>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</si>
  <si>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</si>
  <si>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</si>
  <si>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</si>
  <si>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</si>
  <si>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</si>
  <si>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</si>
  <si>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</si>
  <si>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</si>
  <si>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</si>
  <si>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</si>
  <si>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</si>
  <si>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</si>
  <si>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</si>
  <si>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</si>
  <si>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</si>
  <si>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</si>
  <si>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</si>
  <si>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</si>
  <si>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</si>
  <si>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</si>
  <si>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</si>
  <si>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</si>
  <si>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</si>
  <si>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</si>
  <si>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</si>
  <si>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</si>
  <si>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</si>
  <si>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</si>
  <si>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</si>
  <si>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</si>
  <si>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</si>
  <si>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</si>
  <si>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</si>
  <si>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</si>
  <si>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</si>
  <si>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</si>
  <si>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</si>
  <si>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</si>
  <si>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</si>
  <si>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</si>
  <si>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</si>
  <si>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</si>
  <si>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</si>
  <si>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</si>
  <si>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</si>
  <si>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</si>
  <si>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</si>
  <si>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</si>
  <si>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</si>
  <si>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</si>
  <si>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</si>
  <si>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</si>
  <si>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</si>
  <si>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</si>
  <si>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</si>
  <si>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</si>
  <si>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</si>
  <si>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</si>
  <si>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</si>
  <si>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</si>
  <si>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</si>
  <si>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</si>
  <si>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</si>
  <si>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</si>
  <si>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</si>
  <si>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</si>
  <si>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</si>
  <si>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</si>
  <si>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</si>
  <si>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</si>
  <si>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</si>
  <si>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</si>
  <si>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</si>
  <si>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</si>
  <si>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</si>
  <si>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</si>
  <si>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</si>
  <si>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</si>
  <si>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</si>
  <si>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</si>
  <si>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</si>
  <si>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</si>
  <si>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</si>
  <si>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</si>
  <si>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</si>
  <si>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</si>
  <si>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</si>
  <si>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</si>
  <si>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</si>
  <si>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</si>
  <si>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</si>
  <si>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</si>
  <si>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</si>
  <si>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</si>
  <si>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</si>
  <si>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</si>
  <si>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</si>
  <si>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</si>
  <si>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</si>
  <si>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</si>
  <si>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</si>
  <si>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</si>
  <si>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</si>
  <si>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</si>
  <si>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</si>
  <si>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</si>
  <si>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</si>
  <si>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</si>
  <si>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</si>
  <si>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</si>
  <si>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</si>
  <si>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</si>
  <si>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</si>
  <si>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</si>
  <si>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</si>
  <si>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</si>
  <si>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</si>
  <si>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</si>
  <si>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</si>
  <si>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</si>
  <si>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</si>
  <si>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</si>
  <si>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</si>
  <si>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</si>
  <si>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</si>
  <si>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</si>
  <si>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</si>
  <si>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</si>
  <si>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</si>
  <si>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</si>
  <si>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</si>
  <si>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</si>
  <si>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</si>
  <si>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</si>
  <si>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</si>
  <si>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</si>
  <si>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</si>
  <si>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</si>
  <si>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</si>
  <si>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</si>
  <si>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</si>
  <si>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</si>
  <si>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</si>
  <si>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</si>
  <si>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</si>
  <si>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</si>
  <si>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</si>
  <si>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</si>
  <si>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</si>
  <si>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</si>
  <si>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</si>
  <si>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</si>
  <si>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</si>
  <si>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</si>
  <si>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</si>
  <si>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</si>
  <si>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</si>
  <si>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</si>
  <si>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</si>
  <si>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</si>
  <si>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</si>
  <si>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</si>
  <si>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</si>
  <si>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</si>
  <si>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</si>
  <si>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</si>
  <si>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</si>
  <si>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</si>
  <si>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</si>
  <si>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</si>
  <si>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</si>
  <si>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</si>
  <si>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</si>
  <si>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</si>
  <si>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</si>
  <si>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</si>
  <si>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</si>
  <si>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</si>
  <si>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</si>
  <si>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</si>
  <si>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</si>
  <si>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</si>
  <si>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</si>
  <si>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</si>
  <si>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</si>
  <si>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</si>
  <si>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</si>
  <si>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</si>
  <si>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</si>
  <si>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</si>
  <si>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</si>
  <si>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</si>
  <si>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</si>
  <si>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</si>
  <si>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</si>
  <si>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</si>
  <si>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</si>
  <si>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</si>
  <si>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</si>
  <si>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</si>
  <si>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</si>
  <si>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</si>
  <si>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</si>
  <si>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</si>
  <si>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</si>
  <si>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</si>
  <si>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</si>
  <si>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</si>
  <si>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</si>
  <si>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</si>
  <si>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</si>
  <si>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</si>
  <si>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</si>
  <si>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</si>
  <si>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</si>
  <si>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</si>
  <si>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</si>
  <si>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</si>
  <si>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</si>
  <si>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</si>
  <si>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</si>
  <si>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</si>
  <si>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</si>
  <si>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</si>
  <si>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</si>
  <si>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</si>
  <si>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</si>
  <si>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</si>
  <si>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</si>
  <si>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</si>
  <si>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</si>
  <si>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</si>
  <si>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</si>
  <si>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</si>
  <si>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</si>
  <si>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</si>
  <si>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</si>
  <si>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</si>
  <si>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</si>
  <si>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</si>
  <si>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</si>
  <si>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</si>
  <si>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</si>
  <si>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</si>
  <si>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</si>
  <si>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</si>
  <si>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</si>
  <si>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</si>
  <si>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</si>
  <si>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</si>
  <si>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</si>
  <si>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</si>
  <si>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</si>
  <si>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</si>
  <si>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</si>
  <si>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</si>
  <si>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</si>
  <si>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</si>
  <si>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</si>
  <si>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</si>
  <si>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</si>
  <si>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</si>
  <si>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</si>
  <si>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</si>
  <si>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</si>
  <si>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</si>
  <si>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</si>
  <si>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</si>
  <si>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</si>
  <si>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</si>
  <si>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</si>
  <si>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</si>
  <si>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</si>
  <si>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</si>
  <si>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</si>
  <si>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</si>
  <si>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</si>
  <si>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</si>
  <si>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</si>
  <si>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</si>
  <si>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</si>
  <si>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</si>
  <si>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</si>
  <si>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</si>
  <si>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</si>
  <si>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</si>
  <si>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</si>
  <si>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</si>
  <si>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</si>
  <si>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</si>
  <si>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</si>
  <si>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</si>
  <si>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</si>
  <si>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</si>
  <si>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</si>
  <si>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</si>
  <si>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</si>
  <si>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</si>
  <si>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</si>
  <si>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</si>
  <si>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</si>
  <si>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</si>
  <si>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</si>
  <si>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</si>
  <si>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</si>
  <si>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</si>
  <si>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</si>
  <si>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</si>
  <si>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</si>
  <si>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</si>
  <si>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</si>
  <si>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</si>
  <si>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</si>
  <si>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</si>
  <si>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</si>
  <si>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</si>
  <si>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</si>
  <si>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</si>
  <si>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</si>
  <si>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</si>
  <si>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</si>
  <si>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</si>
  <si>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</si>
  <si>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</si>
  <si>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</si>
  <si>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</si>
  <si>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</si>
  <si>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</si>
  <si>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</si>
  <si>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</si>
  <si>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</si>
  <si>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</si>
  <si>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</si>
  <si>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</si>
  <si>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</si>
  <si>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</si>
  <si>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</si>
  <si>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</si>
  <si>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</si>
  <si>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</si>
  <si>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</si>
  <si>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</si>
  <si>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</si>
  <si>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</si>
  <si>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</si>
  <si>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</si>
  <si>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</si>
  <si>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</si>
  <si>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</si>
  <si>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</si>
  <si>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</si>
  <si>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</si>
  <si>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</si>
  <si>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</si>
  <si>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</si>
  <si>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</si>
  <si>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</si>
  <si>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</si>
  <si>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</si>
  <si>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</si>
  <si>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</si>
  <si>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</si>
  <si>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</si>
  <si>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</si>
  <si>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</si>
  <si>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</si>
  <si>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</si>
  <si>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</si>
  <si>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</si>
  <si>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</si>
  <si>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</si>
  <si>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</si>
  <si>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</si>
  <si>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</si>
  <si>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</si>
  <si>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</si>
  <si>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</si>
  <si>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</si>
  <si>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</si>
  <si>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</si>
  <si>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</si>
  <si>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</si>
  <si>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</si>
  <si>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</si>
  <si>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</si>
  <si>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</si>
  <si>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</si>
  <si>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</si>
  <si>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</si>
  <si>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</si>
  <si>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</si>
  <si>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</si>
  <si>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</si>
  <si>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</si>
  <si>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</si>
  <si>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</si>
  <si>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</si>
  <si>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</si>
  <si>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</si>
  <si>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</si>
  <si>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</si>
  <si>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</si>
  <si>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</si>
  <si>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</si>
  <si>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</si>
  <si>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</si>
  <si>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</si>
  <si>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</si>
  <si>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</si>
  <si>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</si>
  <si>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</si>
  <si>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</si>
  <si>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</si>
  <si>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</si>
  <si>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</si>
  <si>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</si>
  <si>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</si>
  <si>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</si>
  <si>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</si>
  <si>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</si>
  <si>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</si>
  <si>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</si>
  <si>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</si>
  <si>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</si>
  <si>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</si>
  <si>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</si>
  <si>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</si>
  <si>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</si>
  <si>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</si>
  <si>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</si>
  <si>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</si>
  <si>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</si>
  <si>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</si>
  <si>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</si>
  <si>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</si>
  <si>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</si>
  <si>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</si>
  <si>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</si>
  <si>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</si>
  <si>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</si>
  <si>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</si>
  <si>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</si>
  <si>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</si>
  <si>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</si>
  <si>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</si>
  <si>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</si>
  <si>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</si>
  <si>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</si>
  <si>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</si>
  <si>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</si>
  <si>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</si>
  <si>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</si>
  <si>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</si>
  <si>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</si>
  <si>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</si>
  <si>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</si>
  <si>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</si>
  <si>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</si>
  <si>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</si>
  <si>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</si>
  <si>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</si>
  <si>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</si>
  <si>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</si>
  <si>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</si>
  <si>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</si>
  <si>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</si>
  <si>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</si>
  <si>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</si>
  <si>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</si>
  <si>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</si>
  <si>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</si>
  <si>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</si>
  <si>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</si>
  <si>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</si>
  <si>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</si>
  <si>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</si>
  <si>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</si>
  <si>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</si>
  <si>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</si>
  <si>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</si>
  <si>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</si>
  <si>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</si>
  <si>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</si>
  <si>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</si>
  <si>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</si>
  <si>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</si>
  <si>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</si>
  <si>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</si>
  <si>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</si>
  <si>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</si>
  <si>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</si>
  <si>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</si>
  <si>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</si>
  <si>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</si>
  <si>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</si>
  <si>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</si>
  <si>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</si>
  <si>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</si>
  <si>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</si>
  <si>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</si>
  <si>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</si>
  <si>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</si>
  <si>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</si>
  <si>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</si>
  <si>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</si>
  <si>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</si>
  <si>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</si>
  <si>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</si>
  <si>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</si>
  <si>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</si>
  <si>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</si>
  <si>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</si>
  <si>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</si>
  <si>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</si>
  <si>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</si>
  <si>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</si>
  <si>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</si>
  <si>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</si>
  <si>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</si>
  <si>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</si>
  <si>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</si>
  <si>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</si>
  <si>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</si>
  <si>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</si>
  <si>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</si>
  <si>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</si>
  <si>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</si>
  <si>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</si>
  <si>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</si>
  <si>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</si>
  <si>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</si>
  <si>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</si>
  <si>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</si>
  <si>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</si>
  <si>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</si>
  <si>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</si>
  <si>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</si>
  <si>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</si>
  <si>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</si>
  <si>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</si>
  <si>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</si>
  <si>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</si>
  <si>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</si>
  <si>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</si>
  <si>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</si>
  <si>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</si>
  <si>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</si>
  <si>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</si>
  <si>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</si>
  <si>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</si>
  <si>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</si>
  <si>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</si>
  <si>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</si>
  <si>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</si>
  <si>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</si>
  <si>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</si>
  <si>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</si>
  <si>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</si>
  <si>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</si>
  <si>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</si>
  <si>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</si>
  <si>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</si>
  <si>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</si>
  <si>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</si>
  <si>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</si>
  <si>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</si>
  <si>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</si>
  <si>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</si>
  <si>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</si>
  <si>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</si>
  <si>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</si>
  <si>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</si>
  <si>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</si>
  <si>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</si>
  <si>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</si>
  <si>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</si>
  <si>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</si>
  <si>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</si>
  <si>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</si>
  <si>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</si>
  <si>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</si>
  <si>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</si>
  <si>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</si>
  <si>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</si>
  <si>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</si>
  <si>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</si>
  <si>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</si>
  <si>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</si>
  <si>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</si>
  <si>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</si>
  <si>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</si>
  <si>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</si>
  <si>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</si>
  <si>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</si>
  <si>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</si>
  <si>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</si>
  <si>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</si>
  <si>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</si>
  <si>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</si>
  <si>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</si>
  <si>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</si>
  <si>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</si>
  <si>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</si>
  <si>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</si>
  <si>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</si>
  <si>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</si>
  <si>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</si>
  <si>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</si>
  <si>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</si>
  <si>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</si>
  <si>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</si>
  <si>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</si>
  <si>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</si>
  <si>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</si>
  <si>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</si>
  <si>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</si>
  <si>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</si>
  <si>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</si>
  <si>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</si>
  <si>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</si>
  <si>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</si>
  <si>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</si>
  <si>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</si>
  <si>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</si>
  <si>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</si>
  <si>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</si>
  <si>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</si>
  <si>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</si>
  <si>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</si>
  <si>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</si>
  <si>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</si>
  <si>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</si>
  <si>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</si>
  <si>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</si>
  <si>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</si>
  <si>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</si>
  <si>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</si>
  <si>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</si>
  <si>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</si>
  <si>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</si>
  <si>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</si>
  <si>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</si>
  <si>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</si>
  <si>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</si>
  <si>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</si>
  <si>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</si>
  <si>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</si>
  <si>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</si>
  <si>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</si>
  <si>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</si>
  <si>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</si>
  <si>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</si>
  <si>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</si>
  <si>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</si>
  <si>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</si>
  <si>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</si>
  <si>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</si>
  <si>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</si>
  <si>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</si>
  <si>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</si>
  <si>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</si>
  <si>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</si>
  <si>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</si>
  <si>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</si>
  <si>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</si>
  <si>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</si>
  <si>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</si>
  <si>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</si>
  <si>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</si>
  <si>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</si>
  <si>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</si>
  <si>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</si>
  <si>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</si>
  <si>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</si>
  <si>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</si>
  <si>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</si>
  <si>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</si>
  <si>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</si>
  <si>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</si>
  <si>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</si>
  <si>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</si>
  <si>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</si>
  <si>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</si>
  <si>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</si>
  <si>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</si>
  <si>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</si>
  <si>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</si>
  <si>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</si>
  <si>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</si>
  <si>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</si>
  <si>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</si>
  <si>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</si>
  <si>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</si>
  <si>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</si>
  <si>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</si>
  <si>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</si>
  <si>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</si>
  <si>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</si>
  <si>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</si>
  <si>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</si>
  <si>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</si>
  <si>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</si>
  <si>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</si>
  <si>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</si>
  <si>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</si>
  <si>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</si>
  <si>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</si>
  <si>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</si>
  <si>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</si>
  <si>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</si>
  <si>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</si>
  <si>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</si>
  <si>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</si>
  <si>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</si>
  <si>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</si>
  <si>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</si>
  <si>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</si>
  <si>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</si>
  <si>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</si>
  <si>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</si>
  <si>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</si>
  <si>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</si>
  <si>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</si>
  <si>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</si>
  <si>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</si>
  <si>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</si>
  <si>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</si>
  <si>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</si>
  <si>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</si>
  <si>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</si>
  <si>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</si>
  <si>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</si>
  <si>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</si>
  <si>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</si>
  <si>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</si>
  <si>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</si>
  <si>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</si>
  <si>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</si>
  <si>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</si>
  <si>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</si>
  <si>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</si>
  <si>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</si>
  <si>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</si>
  <si>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</si>
  <si>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</si>
  <si>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</si>
  <si>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</si>
  <si>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</si>
  <si>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</si>
  <si>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</si>
  <si>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</si>
  <si>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</si>
  <si>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</si>
  <si>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</si>
  <si>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</si>
  <si>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</si>
  <si>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</si>
  <si>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</si>
  <si>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</si>
  <si>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</si>
  <si>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</si>
  <si>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</si>
  <si>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</si>
  <si>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</si>
  <si>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</si>
  <si>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</si>
  <si>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</si>
  <si>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</si>
  <si>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</si>
  <si>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</si>
  <si>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</si>
  <si>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</si>
  <si>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</si>
  <si>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</si>
  <si>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</si>
  <si>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</si>
  <si>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</si>
  <si>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</si>
  <si>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</si>
  <si>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</si>
  <si>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</si>
  <si>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</si>
  <si>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</si>
  <si>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</si>
  <si>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</si>
  <si>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</si>
  <si>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</si>
  <si>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</si>
  <si>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</si>
  <si>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</si>
  <si>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</si>
  <si>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</si>
  <si>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</si>
  <si>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</si>
  <si>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</si>
  <si>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</si>
  <si>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</si>
  <si>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</si>
  <si>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</si>
  <si>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</si>
  <si>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</si>
  <si>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</si>
  <si>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</si>
  <si>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</si>
  <si>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</si>
  <si>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</si>
  <si>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</si>
  <si>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</si>
  <si>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</si>
  <si>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</si>
  <si>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</si>
  <si>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</si>
  <si>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</si>
  <si>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</si>
  <si>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</si>
  <si>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</si>
  <si>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</si>
  <si>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</si>
  <si>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</si>
  <si>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</si>
  <si>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</si>
  <si>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</si>
  <si>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</si>
  <si>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</si>
  <si>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</si>
  <si>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</si>
  <si>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</si>
  <si>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</si>
  <si>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</si>
  <si>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</si>
  <si>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</si>
  <si>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</si>
  <si>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</si>
  <si>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</si>
  <si>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</si>
  <si>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</si>
  <si>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</si>
  <si>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</si>
  <si>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</si>
  <si>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</si>
  <si>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</si>
  <si>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</si>
  <si>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</si>
  <si>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</si>
  <si>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</si>
  <si>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</si>
  <si>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</si>
  <si>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</si>
  <si>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</si>
  <si>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</si>
  <si>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</si>
  <si>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</si>
  <si>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</si>
  <si>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</si>
  <si>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</si>
  <si>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</si>
  <si>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</si>
  <si>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</si>
  <si>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</si>
  <si>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</si>
  <si>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</si>
  <si>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</si>
  <si>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</si>
  <si>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</si>
  <si>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</si>
  <si>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</si>
  <si>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</si>
  <si>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</si>
  <si>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</si>
  <si>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</si>
  <si>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</si>
  <si>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</si>
  <si>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</si>
  <si>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</si>
  <si>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</si>
  <si>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</si>
  <si>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</si>
  <si>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</si>
  <si>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</si>
  <si>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</si>
  <si>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</si>
  <si>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</si>
  <si>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</si>
  <si>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</si>
  <si>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</si>
  <si>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</si>
  <si>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</si>
  <si>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</si>
  <si>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</si>
  <si>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</si>
  <si>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</si>
  <si>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</si>
  <si>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</si>
  <si>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</si>
  <si>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</si>
  <si>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</si>
  <si>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</si>
  <si>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</si>
  <si>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</si>
  <si>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</si>
  <si>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</si>
  <si>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</si>
  <si>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</si>
  <si>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</si>
  <si>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</si>
  <si>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</si>
  <si>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</si>
  <si>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</si>
  <si>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</si>
  <si>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</si>
  <si>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</si>
  <si>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</si>
  <si>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</si>
  <si>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</si>
  <si>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</si>
  <si>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</si>
  <si>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</si>
  <si>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</si>
  <si>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</si>
  <si>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</si>
  <si>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</si>
  <si>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</si>
  <si>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</si>
  <si>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</si>
  <si>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</si>
  <si>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</si>
  <si>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</si>
  <si>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</si>
  <si>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</si>
  <si>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</si>
  <si>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</si>
  <si>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</si>
  <si>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</si>
  <si>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</si>
  <si>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</si>
  <si>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</si>
  <si>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</si>
  <si>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</si>
  <si>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</si>
  <si>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</si>
  <si>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</si>
  <si>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</si>
  <si>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</si>
  <si>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</si>
  <si>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</si>
  <si>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</si>
  <si>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</si>
  <si>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</si>
  <si>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</si>
  <si>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</si>
  <si>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</si>
  <si>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</si>
  <si>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</si>
  <si>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</si>
  <si>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</si>
  <si>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</si>
  <si>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</si>
  <si>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</si>
  <si>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</si>
  <si>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</si>
  <si>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</si>
  <si>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</si>
  <si>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</si>
  <si>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</si>
  <si>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</si>
  <si>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</si>
  <si>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</si>
  <si>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</si>
  <si>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</si>
  <si>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</si>
  <si>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</si>
  <si>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</si>
  <si>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</si>
  <si>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</si>
  <si>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</si>
  <si>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</si>
  <si>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</si>
  <si>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</si>
  <si>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</si>
  <si>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</si>
  <si>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</si>
  <si>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</si>
  <si>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</si>
  <si>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</si>
  <si>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</si>
  <si>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</si>
  <si>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</si>
  <si>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</si>
  <si>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</si>
  <si>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</si>
  <si>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</si>
  <si>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</si>
  <si>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</si>
  <si>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</si>
  <si>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</si>
  <si>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</si>
  <si>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</si>
  <si>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</si>
  <si>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</si>
  <si>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</si>
  <si>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</si>
  <si>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</si>
  <si>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</si>
  <si>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</si>
  <si>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</si>
  <si>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</si>
  <si>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</si>
  <si>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</si>
  <si>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</si>
  <si>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</si>
  <si>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</si>
  <si>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</si>
  <si>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</si>
  <si>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</si>
  <si>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</si>
  <si>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</si>
  <si>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</si>
  <si>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</si>
  <si>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</si>
  <si>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</si>
  <si>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</si>
  <si>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</si>
  <si>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</si>
  <si>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</si>
  <si>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</si>
  <si>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</si>
  <si>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</si>
  <si>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</si>
  <si>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</si>
  <si>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</si>
  <si>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</si>
  <si>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</si>
  <si>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</si>
  <si>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</si>
  <si>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</si>
  <si>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</si>
  <si>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</si>
  <si>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</si>
  <si>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</si>
  <si>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</si>
  <si>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</si>
  <si>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</si>
  <si>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</si>
  <si>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</si>
  <si>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</si>
  <si>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</si>
  <si>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</si>
  <si>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</si>
  <si>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</si>
  <si>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</si>
  <si>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</si>
  <si>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</si>
  <si>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</si>
  <si>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</si>
  <si>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</si>
  <si>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</si>
  <si>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</si>
  <si>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</si>
  <si>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</si>
  <si>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</si>
  <si>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</si>
  <si>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</si>
  <si>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</si>
  <si>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</si>
  <si>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</si>
  <si>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</si>
  <si>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</si>
  <si>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</si>
  <si>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</si>
  <si>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</si>
  <si>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</si>
  <si>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</si>
  <si>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</si>
  <si>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</si>
  <si>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</si>
  <si>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</si>
  <si>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</si>
  <si>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</si>
  <si>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</si>
  <si>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</si>
  <si>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</si>
  <si>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</si>
  <si>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</si>
  <si>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</si>
  <si>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</si>
  <si>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</si>
  <si>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</si>
  <si>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</si>
  <si>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</si>
  <si>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</si>
  <si>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</si>
  <si>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</si>
  <si>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</si>
  <si>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</si>
  <si>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</si>
  <si>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</si>
  <si>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</si>
  <si>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</si>
  <si>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</si>
  <si>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</si>
  <si>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</si>
  <si>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</si>
  <si>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</si>
  <si>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</si>
  <si>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</si>
  <si>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</si>
  <si>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</si>
  <si>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</si>
  <si>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</si>
  <si>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</si>
  <si>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</si>
  <si>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</si>
  <si>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</si>
  <si>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</si>
  <si>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</si>
  <si>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</si>
  <si>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</si>
  <si>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</si>
  <si>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</si>
  <si>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</si>
  <si>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</si>
  <si>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</si>
  <si>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</si>
  <si>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</si>
  <si>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</si>
  <si>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</si>
  <si>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</si>
  <si>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</si>
  <si>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</si>
  <si>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</si>
  <si>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</si>
  <si>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</si>
  <si>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</si>
  <si>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</si>
  <si>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</si>
  <si>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</si>
  <si>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</si>
  <si>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</si>
  <si>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</si>
  <si>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</si>
  <si>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</si>
  <si>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</si>
  <si>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</si>
  <si>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</si>
  <si>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</si>
  <si>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</si>
  <si>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</si>
  <si>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</si>
  <si>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</si>
  <si>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</si>
  <si>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</si>
  <si>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</si>
  <si>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</si>
  <si>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</si>
  <si>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</si>
  <si>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</si>
  <si>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</si>
  <si>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</si>
  <si>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</si>
  <si>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</si>
  <si>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</si>
  <si>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</si>
  <si>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</si>
  <si>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</si>
  <si>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</si>
  <si>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</si>
  <si>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</si>
  <si>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</si>
  <si>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</si>
  <si>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</si>
  <si>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</si>
  <si>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</si>
  <si>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</si>
  <si>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</si>
  <si>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</si>
  <si>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</si>
  <si>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</si>
  <si>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</si>
  <si>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</si>
  <si>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</si>
  <si>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</si>
  <si>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</si>
  <si>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</si>
  <si>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</si>
  <si>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</si>
  <si>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</si>
  <si>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</si>
  <si>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</si>
  <si>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</si>
  <si>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</si>
  <si>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</si>
  <si>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</si>
  <si>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</si>
  <si>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</si>
  <si>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</si>
  <si>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</si>
  <si>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</si>
  <si>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</si>
  <si>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</si>
  <si>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</si>
  <si>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</si>
  <si>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</si>
  <si>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</si>
  <si>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</si>
  <si>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</si>
  <si>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</si>
  <si>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</si>
  <si>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</si>
  <si>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</si>
  <si>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</si>
  <si>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</si>
  <si>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</si>
  <si>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</si>
  <si>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</si>
  <si>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</si>
  <si>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</si>
  <si>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</si>
  <si>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</si>
  <si>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</si>
  <si>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</si>
  <si>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</si>
  <si>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</si>
  <si>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</si>
  <si>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</si>
  <si>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</si>
  <si>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</si>
  <si>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</si>
  <si>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</si>
  <si>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</si>
  <si>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</si>
  <si>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</si>
  <si>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</si>
  <si>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</si>
  <si>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</si>
  <si>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</si>
  <si>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</si>
  <si>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</si>
  <si>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</si>
  <si>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</si>
  <si>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</si>
  <si>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</si>
  <si>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</si>
  <si>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</si>
  <si>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</si>
  <si>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</si>
  <si>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</si>
  <si>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</si>
  <si>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</si>
  <si>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</si>
  <si>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</si>
  <si>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</si>
  <si>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</si>
  <si>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</si>
  <si>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</si>
  <si>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</si>
  <si>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</si>
  <si>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</si>
  <si>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</si>
  <si>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</si>
  <si>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</si>
  <si>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</si>
  <si>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</si>
  <si>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</si>
  <si>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</si>
  <si>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</si>
  <si>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</si>
  <si>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</si>
  <si>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</si>
  <si>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</si>
  <si>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</si>
  <si>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</si>
  <si>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</si>
  <si>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</si>
  <si>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</si>
  <si>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</si>
  <si>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</si>
  <si>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</si>
  <si>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</si>
  <si>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</si>
  <si>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</si>
  <si>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</si>
  <si>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</si>
  <si>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</si>
  <si>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</si>
  <si>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</si>
  <si>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</si>
  <si>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</si>
  <si>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</si>
  <si>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</si>
  <si>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</si>
  <si>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</si>
  <si>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</si>
  <si>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</si>
  <si>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</si>
  <si>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</si>
  <si>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</si>
  <si>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</si>
  <si>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</si>
  <si>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</si>
  <si>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</si>
  <si>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</si>
  <si>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</si>
  <si>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</si>
  <si>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</si>
  <si>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</si>
  <si>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</si>
  <si>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</si>
  <si>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</si>
  <si>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</si>
  <si>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</si>
  <si>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</si>
  <si>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</si>
  <si>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</si>
  <si>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</si>
  <si>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</si>
  <si>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</si>
  <si>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</si>
  <si>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</si>
  <si>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</si>
  <si>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</si>
  <si>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</si>
  <si>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</si>
  <si>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</si>
  <si>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</si>
  <si>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</si>
  <si>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</si>
  <si>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</si>
  <si>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</si>
  <si>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</si>
  <si>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</si>
  <si>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</si>
  <si>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</si>
  <si>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</si>
  <si>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</si>
  <si>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</si>
  <si>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</si>
  <si>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</si>
  <si>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</si>
  <si>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</si>
  <si>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</si>
  <si>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</si>
  <si>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</si>
  <si>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</si>
  <si>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</si>
  <si>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</si>
  <si>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</si>
  <si>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</si>
  <si>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</si>
  <si>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</si>
  <si>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</si>
  <si>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</si>
  <si>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</si>
  <si>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</si>
  <si>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</si>
  <si>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</si>
  <si>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</si>
  <si>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</si>
  <si>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</si>
  <si>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</si>
  <si>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</si>
  <si>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</si>
  <si>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</si>
  <si>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</si>
  <si>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</si>
  <si>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</si>
  <si>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</si>
  <si>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</si>
  <si>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</si>
  <si>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</si>
  <si>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</si>
  <si>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</si>
  <si>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</si>
  <si>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</si>
  <si>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</si>
  <si>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</si>
  <si>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</si>
  <si>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</si>
  <si>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</si>
  <si>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</si>
  <si>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</si>
  <si>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</si>
  <si>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</si>
  <si>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</si>
  <si>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</si>
  <si>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</si>
  <si>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</si>
  <si>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</si>
  <si>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</si>
  <si>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</si>
  <si>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</si>
  <si>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</si>
  <si>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</si>
  <si>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</si>
  <si>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</si>
  <si>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</si>
  <si>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</si>
  <si>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</si>
  <si>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</si>
  <si>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</si>
  <si>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</si>
  <si>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</si>
  <si>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</si>
  <si>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</si>
  <si>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</si>
  <si>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</si>
  <si>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</si>
  <si>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</si>
  <si>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</si>
  <si>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</si>
  <si>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</si>
  <si>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</si>
  <si>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</si>
  <si>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</si>
  <si>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</si>
  <si>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</si>
  <si>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</si>
  <si>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</si>
  <si>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</si>
  <si>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</si>
  <si>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</si>
  <si>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</si>
  <si>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</si>
  <si>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</si>
  <si>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</si>
  <si>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</si>
  <si>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</si>
  <si>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</si>
  <si>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</si>
  <si>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</si>
  <si>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</si>
  <si>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</si>
  <si>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</si>
  <si>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</si>
  <si>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</si>
  <si>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</si>
  <si>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</si>
  <si>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</si>
  <si>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</si>
  <si>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</si>
  <si>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</si>
  <si>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</si>
  <si>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</si>
  <si>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</si>
  <si>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</si>
  <si>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</si>
  <si>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</si>
  <si>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</si>
  <si>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</si>
  <si>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</si>
  <si>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</si>
  <si>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</si>
  <si>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</si>
  <si>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</si>
  <si>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</si>
  <si>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</si>
  <si>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</si>
  <si>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</si>
  <si>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</si>
  <si>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</si>
  <si>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</si>
  <si>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</si>
  <si>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</si>
  <si>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</si>
  <si>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</si>
  <si>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</si>
  <si>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</si>
  <si>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</si>
  <si>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</si>
  <si>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</si>
  <si>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</si>
  <si>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</si>
  <si>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</si>
  <si>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</si>
  <si>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</si>
  <si>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</si>
  <si>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</si>
  <si>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</si>
  <si>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</si>
  <si>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</si>
  <si>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</si>
  <si>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</si>
  <si>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</si>
  <si>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</si>
  <si>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</si>
  <si>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</si>
  <si>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</si>
  <si>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</si>
  <si>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</si>
  <si>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</si>
  <si>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</si>
  <si>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</si>
  <si>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</si>
  <si>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</si>
  <si>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</si>
  <si>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</si>
  <si>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</si>
  <si>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</si>
  <si>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</si>
  <si>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</si>
  <si>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</si>
  <si>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</si>
  <si>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</si>
  <si>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</si>
  <si>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</si>
  <si>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</si>
  <si>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</si>
  <si>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</si>
  <si>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</si>
  <si>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</si>
  <si>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</si>
  <si>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</si>
  <si>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</si>
  <si>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</si>
  <si>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</si>
  <si>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</si>
  <si>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</si>
  <si>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</si>
  <si>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</si>
  <si>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</si>
  <si>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</si>
  <si>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</si>
  <si>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</si>
  <si>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</si>
  <si>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</si>
  <si>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</si>
  <si>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</si>
  <si>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</si>
  <si>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</si>
  <si>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</si>
  <si>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</si>
  <si>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</si>
  <si>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</si>
  <si>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</si>
  <si>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</si>
  <si>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</si>
  <si>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</si>
  <si>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</si>
  <si>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</si>
  <si>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</si>
  <si>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</si>
  <si>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</si>
  <si>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</si>
  <si>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</si>
  <si>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</si>
  <si>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</si>
  <si>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</si>
  <si>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</si>
  <si>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</si>
  <si>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</si>
  <si>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</si>
  <si>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</si>
  <si>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</si>
  <si>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</si>
  <si>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</si>
  <si>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</si>
  <si>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</si>
  <si>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</si>
  <si>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</si>
  <si>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</si>
  <si>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</si>
  <si>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</si>
  <si>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</si>
  <si>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</si>
  <si>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</si>
  <si>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</si>
  <si>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</si>
  <si>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</si>
  <si>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</si>
  <si>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</si>
  <si>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</si>
  <si>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</si>
  <si>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</si>
  <si>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</si>
  <si>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</si>
  <si>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</si>
  <si>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</si>
  <si>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</si>
  <si>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</si>
  <si>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</si>
  <si>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</si>
  <si>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</si>
  <si>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</si>
  <si>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</si>
  <si>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</si>
  <si>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</si>
  <si>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</si>
  <si>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</si>
  <si>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</si>
  <si>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</si>
  <si>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</si>
  <si>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</si>
  <si>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</si>
  <si>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</si>
  <si>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</si>
  <si>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</si>
  <si>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</si>
  <si>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</si>
  <si>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</si>
  <si>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</si>
  <si>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</si>
  <si>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</si>
  <si>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</si>
  <si>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</si>
  <si>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</si>
  <si>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</si>
  <si>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</si>
  <si>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</si>
  <si>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</si>
  <si>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</si>
  <si>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</si>
  <si>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</si>
  <si>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</si>
  <si>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</si>
  <si>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</si>
  <si>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</si>
  <si>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</si>
  <si>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</si>
  <si>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</si>
  <si>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</si>
  <si>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</si>
  <si>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</si>
  <si>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</si>
  <si>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</si>
  <si>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</si>
  <si>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</si>
  <si>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</si>
  <si>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</si>
  <si>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</si>
  <si>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</si>
  <si>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</si>
  <si>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</si>
  <si>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</si>
  <si>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</si>
  <si>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</si>
  <si>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</si>
  <si>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</si>
  <si>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</si>
  <si>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</si>
  <si>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</si>
  <si>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</si>
  <si>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</si>
  <si>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</si>
  <si>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</si>
  <si>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</si>
  <si>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</si>
  <si>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</si>
  <si>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</si>
  <si>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</si>
  <si>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</si>
  <si>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</si>
  <si>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</si>
  <si>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</si>
  <si>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</si>
  <si>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</si>
  <si>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</si>
  <si>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</si>
  <si>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</si>
  <si>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</si>
  <si>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</si>
  <si>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</si>
  <si>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</si>
  <si>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</si>
  <si>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</si>
  <si>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</si>
  <si>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</si>
  <si>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</si>
  <si>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</si>
  <si>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</si>
  <si>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</si>
  <si>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</si>
  <si>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</si>
  <si>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</si>
  <si>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</si>
  <si>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</si>
  <si>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</si>
  <si>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</si>
  <si>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</si>
  <si>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</si>
  <si>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</si>
  <si>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</si>
  <si>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</si>
  <si>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</si>
  <si>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</si>
  <si>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</si>
  <si>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</si>
  <si>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</si>
  <si>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</si>
  <si>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</si>
  <si>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</si>
  <si>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</si>
  <si>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</si>
  <si>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</si>
  <si>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</si>
  <si>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</si>
  <si>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</si>
  <si>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</si>
  <si>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</si>
  <si>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</si>
  <si>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</si>
  <si>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</si>
  <si>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</si>
  <si>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</si>
  <si>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</si>
  <si>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</si>
  <si>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</si>
  <si>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</si>
  <si>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</si>
  <si>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</si>
  <si>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</si>
  <si>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</si>
  <si>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</si>
  <si>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</si>
  <si>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</si>
  <si>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</si>
  <si>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</si>
  <si>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</si>
  <si>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</si>
  <si>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</si>
  <si>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</si>
  <si>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</si>
  <si>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</si>
  <si>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</si>
  <si>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</si>
  <si>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</si>
  <si>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</si>
  <si>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</si>
  <si>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</si>
  <si>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</si>
  <si>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</si>
  <si>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</si>
  <si>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</si>
  <si>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</si>
  <si>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</si>
  <si>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</si>
  <si>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</si>
  <si>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</si>
  <si>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</si>
  <si>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</si>
  <si>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</si>
  <si>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</si>
  <si>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</si>
  <si>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</si>
  <si>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</si>
  <si>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</si>
  <si>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</si>
  <si>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</si>
  <si>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</si>
  <si>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</si>
  <si>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</si>
  <si>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</si>
  <si>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</si>
  <si>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</si>
  <si>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</si>
  <si>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</si>
  <si>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</si>
  <si>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</si>
  <si>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</si>
  <si>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</si>
  <si>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</si>
  <si>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</si>
  <si>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</si>
  <si>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</si>
  <si>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</si>
  <si>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</si>
  <si>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</si>
  <si>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</si>
  <si>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</si>
  <si>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</si>
  <si>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</si>
  <si>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</si>
  <si>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</si>
  <si>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</si>
  <si>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</si>
  <si>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</si>
  <si>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</si>
  <si>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</si>
  <si>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</si>
  <si>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</si>
  <si>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</si>
  <si>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</si>
  <si>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</si>
  <si>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</si>
  <si>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</si>
  <si>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</si>
  <si>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</si>
  <si>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</si>
  <si>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</si>
  <si>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</si>
  <si>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</si>
  <si>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</si>
  <si>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</si>
  <si>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</si>
  <si>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</si>
  <si>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</si>
  <si>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</si>
  <si>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</si>
  <si>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</si>
  <si>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</si>
  <si>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</si>
  <si>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</si>
  <si>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</si>
  <si>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</si>
  <si>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</si>
  <si>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</si>
  <si>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</si>
  <si>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</si>
  <si>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</si>
  <si>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</si>
  <si>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</si>
  <si>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</si>
  <si>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</si>
  <si>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</si>
  <si>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</si>
  <si>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</si>
  <si>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</si>
  <si>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</si>
  <si>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</si>
  <si>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</si>
  <si>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</si>
  <si>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</si>
  <si>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</si>
  <si>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</si>
  <si>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</si>
  <si>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</si>
  <si>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</si>
  <si>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</si>
  <si>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</si>
  <si>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</si>
  <si>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</si>
  <si>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</si>
  <si>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</si>
  <si>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</si>
  <si>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</si>
  <si>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</si>
  <si>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</si>
  <si>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</si>
  <si>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</si>
  <si>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</si>
  <si>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</si>
  <si>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</si>
  <si>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</si>
  <si>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</si>
  <si>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</si>
  <si>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</si>
  <si>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</si>
  <si>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</si>
  <si>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</si>
  <si>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</si>
  <si>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</si>
  <si>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</si>
  <si>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</si>
  <si>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</si>
  <si>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</si>
  <si>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</si>
  <si>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</si>
  <si>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</si>
  <si>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</si>
  <si>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</si>
  <si>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</si>
  <si>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</si>
  <si>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</si>
  <si>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</si>
  <si>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</si>
  <si>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</si>
  <si>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</si>
  <si>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</si>
  <si>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</si>
  <si>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</si>
  <si>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</si>
  <si>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</si>
  <si>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</si>
  <si>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</si>
  <si>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</si>
  <si>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</si>
  <si>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</si>
  <si>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</si>
  <si>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</si>
  <si>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</si>
  <si>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</si>
  <si>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</si>
  <si>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</si>
  <si>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</si>
  <si>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</si>
  <si>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</si>
  <si>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</si>
  <si>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</si>
  <si>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</si>
  <si>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</si>
  <si>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</si>
  <si>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</si>
  <si>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</si>
  <si>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</si>
  <si>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</si>
  <si>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</si>
  <si>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</si>
  <si>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</si>
  <si>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</si>
  <si>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</si>
  <si>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</si>
  <si>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</si>
  <si>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</si>
  <si>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</si>
  <si>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</si>
  <si>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</si>
  <si>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</si>
  <si>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</si>
  <si>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</si>
  <si>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</si>
  <si>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</si>
  <si>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</si>
  <si>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</si>
  <si>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</si>
  <si>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</si>
  <si>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</si>
  <si>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</si>
  <si>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</si>
  <si>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</si>
  <si>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</si>
  <si>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</si>
  <si>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</si>
  <si>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</si>
  <si>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</si>
  <si>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</si>
  <si>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</si>
  <si>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</si>
  <si>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</si>
  <si>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</si>
  <si>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</si>
  <si>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</si>
  <si>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</si>
  <si>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</si>
  <si>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</si>
  <si>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</si>
  <si>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</si>
  <si>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</si>
  <si>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</si>
  <si>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</si>
  <si>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</si>
  <si>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</si>
  <si>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</si>
  <si>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</si>
  <si>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</si>
  <si>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</si>
  <si>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</si>
  <si>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</si>
  <si>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</si>
  <si>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</si>
  <si>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</si>
  <si>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</si>
  <si>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</si>
  <si>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</si>
  <si>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</si>
  <si>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</si>
  <si>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</si>
  <si>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</si>
  <si>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</si>
  <si>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</si>
  <si>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</si>
  <si>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</si>
  <si>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</si>
  <si>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</si>
  <si>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</si>
  <si>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</si>
  <si>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</si>
  <si>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</si>
  <si>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</si>
  <si>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</si>
  <si>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</si>
  <si>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</si>
  <si>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</si>
  <si>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</si>
  <si>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</si>
  <si>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</si>
  <si>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</si>
  <si>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</si>
  <si>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</si>
  <si>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</si>
  <si>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</si>
  <si>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</si>
  <si>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</si>
  <si>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</si>
  <si>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</si>
  <si>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</si>
  <si>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</si>
  <si>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</si>
  <si>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</si>
  <si>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</si>
  <si>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</si>
  <si>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</si>
  <si>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</si>
  <si>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</si>
  <si>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</si>
  <si>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</si>
  <si>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</si>
  <si>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</si>
  <si>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</si>
  <si>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</si>
  <si>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</si>
  <si>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</si>
  <si>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</si>
  <si>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</si>
  <si>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</si>
  <si>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</si>
  <si>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</si>
  <si>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</si>
  <si>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</si>
  <si>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</si>
  <si>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</si>
  <si>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</si>
  <si>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</si>
  <si>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</si>
  <si>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</si>
  <si>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</si>
  <si>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</si>
  <si>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</si>
  <si>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</si>
  <si>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</si>
  <si>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</si>
  <si>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</si>
  <si>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</si>
  <si>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</si>
  <si>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</si>
  <si>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</si>
  <si>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</si>
  <si>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</si>
  <si>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</si>
  <si>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</si>
  <si>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</si>
  <si>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</si>
  <si>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</si>
  <si>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</si>
  <si>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</si>
  <si>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</si>
  <si>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</si>
  <si>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</si>
  <si>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</si>
  <si>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</si>
  <si>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</si>
  <si>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</si>
  <si>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</si>
  <si>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</si>
  <si>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</si>
  <si>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</si>
  <si>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</si>
  <si>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</si>
  <si>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</si>
  <si>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</si>
  <si>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</si>
  <si>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</si>
  <si>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</si>
  <si>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</si>
  <si>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</si>
  <si>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</si>
  <si>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</si>
  <si>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</si>
  <si>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</si>
  <si>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</si>
  <si>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</si>
  <si>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</si>
  <si>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</si>
  <si>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</si>
  <si>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</si>
  <si>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</si>
  <si>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</si>
  <si>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</si>
  <si>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</si>
  <si>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</si>
  <si>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</si>
  <si>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</si>
  <si>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</si>
  <si>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</si>
  <si>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</si>
  <si>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</si>
  <si>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</si>
  <si>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</si>
  <si>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</si>
  <si>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</si>
  <si>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</si>
  <si>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</si>
  <si>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</si>
  <si>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</si>
  <si>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</si>
  <si>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</si>
  <si>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</si>
  <si>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</si>
  <si>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</si>
  <si>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</si>
  <si>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</si>
  <si>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</si>
  <si>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</si>
  <si>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</si>
  <si>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</si>
  <si>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</si>
  <si>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</si>
  <si>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</si>
  <si>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</si>
  <si>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</si>
  <si>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</si>
  <si>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</si>
  <si>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</si>
  <si>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</si>
  <si>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</si>
  <si>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</si>
  <si>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</si>
  <si>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</si>
  <si>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</si>
  <si>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</si>
  <si>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</si>
  <si>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</si>
  <si>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</si>
  <si>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</si>
  <si>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</si>
  <si>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</si>
  <si>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</si>
  <si>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</si>
  <si>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</si>
  <si>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</si>
  <si>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</si>
  <si>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</si>
  <si>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</si>
  <si>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</si>
  <si>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</si>
  <si>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</si>
  <si>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</si>
  <si>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</si>
  <si>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</si>
  <si>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</si>
  <si>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</si>
  <si>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</si>
  <si>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</si>
  <si>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</si>
  <si>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</si>
  <si>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</si>
  <si>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</si>
  <si>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</si>
  <si>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</si>
  <si>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</si>
  <si>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</si>
  <si>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</si>
  <si>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</si>
  <si>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</si>
  <si>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</si>
  <si>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</si>
  <si>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</si>
  <si>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</si>
  <si>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</si>
  <si>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</si>
  <si>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</si>
  <si>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</si>
  <si>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</si>
  <si>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</si>
  <si>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</si>
  <si>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</si>
  <si>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</si>
  <si>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</si>
  <si>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</si>
  <si>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</si>
  <si>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</si>
  <si>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</si>
  <si>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</si>
  <si>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</si>
  <si>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</si>
  <si>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</si>
  <si>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</si>
  <si>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</si>
  <si>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</si>
  <si>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</si>
  <si>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</si>
  <si>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</si>
  <si>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</si>
  <si>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</si>
  <si>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</si>
  <si>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</si>
  <si>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</si>
  <si>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</si>
  <si>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</si>
  <si>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</si>
  <si>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</si>
  <si>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</si>
  <si>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</si>
  <si>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</si>
  <si>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</si>
  <si>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</si>
  <si>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</si>
  <si>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</si>
  <si>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</si>
  <si>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</si>
  <si>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</si>
  <si>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</si>
  <si>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</si>
  <si>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</si>
  <si>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</si>
  <si>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</si>
  <si>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</si>
  <si>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</si>
  <si>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</si>
  <si>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</si>
  <si>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</si>
  <si>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</si>
  <si>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</si>
  <si>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</si>
  <si>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</si>
  <si>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</si>
  <si>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</si>
  <si>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</si>
  <si>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</si>
  <si>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</si>
  <si>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</si>
  <si>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</si>
  <si>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</si>
  <si>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</si>
  <si>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</si>
  <si>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</si>
  <si>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</si>
  <si>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</si>
  <si>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</si>
  <si>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</si>
  <si>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</si>
  <si>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</si>
  <si>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</si>
  <si>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</si>
  <si>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</si>
  <si>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</si>
  <si>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</si>
  <si>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</si>
  <si>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</si>
  <si>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</si>
  <si>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</si>
  <si>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</si>
  <si>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</si>
  <si>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</si>
  <si>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</si>
  <si>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</si>
  <si>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</si>
  <si>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</si>
  <si>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</si>
  <si>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</si>
  <si>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</si>
  <si>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</si>
  <si>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</si>
  <si>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</si>
  <si>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</si>
  <si>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</si>
  <si>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</si>
  <si>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</si>
  <si>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</si>
  <si>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</si>
  <si>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</si>
  <si>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</si>
  <si>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</si>
  <si>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</si>
  <si>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</si>
  <si>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</si>
  <si>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</si>
  <si>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</si>
  <si>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</si>
  <si>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</si>
  <si>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</si>
  <si>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</si>
  <si>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</si>
  <si>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</si>
  <si>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</si>
  <si>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</si>
  <si>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</si>
  <si>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</si>
  <si>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</si>
  <si>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</si>
  <si>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</si>
  <si>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</si>
  <si>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</si>
  <si>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</si>
  <si>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</si>
  <si>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</si>
  <si>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</si>
  <si>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</si>
  <si>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</si>
  <si>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</si>
  <si>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</si>
  <si>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</si>
  <si>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</si>
  <si>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</si>
  <si>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</si>
  <si>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</si>
  <si>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نطرین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</si>
  <si>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</si>
  <si>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</si>
  <si>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</si>
  <si>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</si>
  <si>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</si>
  <si>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</si>
  <si>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</si>
  <si>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</si>
  <si>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</si>
  <si>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</si>
  <si>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</si>
  <si>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</si>
  <si>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</si>
  <si>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</si>
  <si>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</si>
  <si>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24/5/97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</si>
  <si>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</si>
  <si>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</si>
  <si>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</si>
  <si>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</si>
  <si>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</si>
  <si>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</si>
  <si>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سهام تاپکیش</t>
  </si>
  <si>
    <t>تاپکیش</t>
  </si>
  <si>
    <t>تاپکیش 235 تا 170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</si>
  <si>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</si>
  <si>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</si>
  <si>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</si>
  <si>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</si>
  <si>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</si>
  <si>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</si>
  <si>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</si>
  <si>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</si>
  <si>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</si>
  <si>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</si>
  <si>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</si>
  <si>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</si>
  <si>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</si>
  <si>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</si>
  <si>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</si>
  <si>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</si>
  <si>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</si>
  <si>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</si>
  <si>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وغدیر 1272016 تا 192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</si>
  <si>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</si>
  <si>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</si>
  <si>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</si>
  <si>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</si>
  <si>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</si>
  <si>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</si>
  <si>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</si>
  <si>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</si>
  <si>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</si>
  <si>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</si>
  <si>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</si>
  <si>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</si>
  <si>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</si>
  <si>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</si>
  <si>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طلب از داریوش 18290 تا وغدیر 3.4655 پول دادم 1/7/97</t>
  </si>
  <si>
    <t>خرید جانبو</t>
  </si>
  <si>
    <t>حقوق شهریور 3.6</t>
  </si>
  <si>
    <t>4/7/1397</t>
  </si>
  <si>
    <t>به حساب بورس مهدی معادل 1864 تا وغدیر 213.7</t>
  </si>
  <si>
    <t>تعداد 187551 عدد سهام وغدیر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</si>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</sst>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9" workbookViewId="0">
      <selection activeCell="E51" sqref="E5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80" t="s">
        <v>0</v>
      </c>
      <c r="B1" s="180" t="s">
        <v>1</v>
      </c>
      <c r="C1" s="180" t="s">
        <v>4</v>
      </c>
      <c r="D1" s="180" t="s">
        <v>5</v>
      </c>
      <c r="E1" s="180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80" t="s">
        <v>4232</v>
      </c>
      <c r="B2" s="117">
        <f>شهریور97!B29</f>
        <v>46177</v>
      </c>
      <c r="C2" s="1">
        <f>شهریور97!C29</f>
        <v>7906317</v>
      </c>
      <c r="D2" s="117">
        <f>B2-C2</f>
        <v>-7860140</v>
      </c>
      <c r="E2" s="180" t="s">
        <v>59</v>
      </c>
      <c r="F2" s="100">
        <v>30</v>
      </c>
      <c r="G2" s="100">
        <f>B2*F2</f>
        <v>1385310</v>
      </c>
      <c r="H2" s="100">
        <f>C2*F2</f>
        <v>237189510</v>
      </c>
      <c r="I2" s="100">
        <f>D2*F2</f>
        <v>-235804200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4241</v>
      </c>
      <c r="B3" s="18">
        <v>830000</v>
      </c>
      <c r="C3" s="18">
        <v>0</v>
      </c>
      <c r="D3" s="121">
        <f t="shared" ref="D3:D26" si="0">B3-C3</f>
        <v>830000</v>
      </c>
      <c r="E3" s="20" t="s">
        <v>4243</v>
      </c>
      <c r="F3" s="100">
        <v>30</v>
      </c>
      <c r="G3" s="100">
        <f t="shared" ref="G3:G25" si="1">B3*F3</f>
        <v>24900000</v>
      </c>
      <c r="H3" s="100">
        <f t="shared" ref="H3:H25" si="2">C3*F3</f>
        <v>0</v>
      </c>
      <c r="I3" s="100">
        <f t="shared" ref="I3:I25" si="3">D3*F3</f>
        <v>24900000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4265</v>
      </c>
      <c r="B4" s="18">
        <v>-52440</v>
      </c>
      <c r="C4" s="18">
        <v>0</v>
      </c>
      <c r="D4" s="117">
        <f t="shared" si="0"/>
        <v>-52440</v>
      </c>
      <c r="E4" s="103" t="s">
        <v>4272</v>
      </c>
      <c r="F4" s="100">
        <v>28</v>
      </c>
      <c r="G4" s="100">
        <f t="shared" si="1"/>
        <v>-1468320</v>
      </c>
      <c r="H4" s="100">
        <f t="shared" si="2"/>
        <v>0</v>
      </c>
      <c r="I4" s="100">
        <f t="shared" si="3"/>
        <v>-1468320</v>
      </c>
      <c r="J4" s="100"/>
      <c r="K4" s="100"/>
      <c r="L4" s="100"/>
      <c r="M4" s="100"/>
      <c r="N4" s="100"/>
      <c r="P4" s="100"/>
      <c r="Q4" s="100"/>
      <c r="R4" s="100"/>
      <c r="S4" s="100"/>
      <c r="T4" s="100"/>
    </row>
    <row r="5" spans="1:20" x14ac:dyDescent="0.25">
      <c r="A5" s="30" t="s">
        <v>4274</v>
      </c>
      <c r="B5" s="18">
        <v>-51100</v>
      </c>
      <c r="C5" s="18">
        <v>0</v>
      </c>
      <c r="D5" s="117">
        <f t="shared" si="0"/>
        <v>-51100</v>
      </c>
      <c r="E5" s="20" t="s">
        <v>452</v>
      </c>
      <c r="F5" s="100">
        <v>27</v>
      </c>
      <c r="G5" s="100">
        <f t="shared" si="1"/>
        <v>-1379700</v>
      </c>
      <c r="H5" s="100">
        <f t="shared" si="2"/>
        <v>0</v>
      </c>
      <c r="I5" s="100">
        <f t="shared" si="3"/>
        <v>-1379700</v>
      </c>
      <c r="J5" s="100"/>
      <c r="K5" s="100"/>
      <c r="L5" s="100"/>
      <c r="M5" s="100"/>
      <c r="N5" s="100"/>
      <c r="O5" s="100">
        <v>1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4277</v>
      </c>
      <c r="B6" s="18">
        <v>-200000</v>
      </c>
      <c r="C6" s="18">
        <v>0</v>
      </c>
      <c r="D6" s="117">
        <f t="shared" si="0"/>
        <v>-200000</v>
      </c>
      <c r="E6" s="19" t="s">
        <v>4278</v>
      </c>
      <c r="F6" s="100">
        <v>26</v>
      </c>
      <c r="G6" s="100">
        <f t="shared" si="1"/>
        <v>-5200000</v>
      </c>
      <c r="H6" s="100">
        <f t="shared" si="2"/>
        <v>0</v>
      </c>
      <c r="I6" s="100">
        <f t="shared" si="3"/>
        <v>-5200000</v>
      </c>
      <c r="J6" s="100"/>
      <c r="K6" s="100"/>
      <c r="L6" s="100"/>
      <c r="M6" s="100"/>
      <c r="N6" s="100"/>
      <c r="O6" s="100">
        <v>2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4279</v>
      </c>
      <c r="B7" s="18">
        <v>-28000</v>
      </c>
      <c r="C7" s="18">
        <v>0</v>
      </c>
      <c r="D7" s="117">
        <f t="shared" si="0"/>
        <v>-28000</v>
      </c>
      <c r="E7" s="19" t="s">
        <v>1041</v>
      </c>
      <c r="F7" s="100">
        <v>25</v>
      </c>
      <c r="G7" s="100">
        <f t="shared" si="1"/>
        <v>-700000</v>
      </c>
      <c r="H7" s="100">
        <f t="shared" si="2"/>
        <v>0</v>
      </c>
      <c r="I7" s="100">
        <f t="shared" si="3"/>
        <v>-700000</v>
      </c>
      <c r="J7" s="100"/>
      <c r="K7" s="100"/>
      <c r="L7" s="100"/>
      <c r="M7" s="100"/>
      <c r="N7" s="100"/>
      <c r="O7" s="100">
        <v>3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4280</v>
      </c>
      <c r="B8" s="18">
        <v>-59100</v>
      </c>
      <c r="C8" s="18">
        <v>0</v>
      </c>
      <c r="D8" s="117">
        <f t="shared" si="0"/>
        <v>-59100</v>
      </c>
      <c r="E8" s="19" t="s">
        <v>452</v>
      </c>
      <c r="F8" s="100">
        <v>24</v>
      </c>
      <c r="G8" s="100">
        <f t="shared" si="1"/>
        <v>-1418400</v>
      </c>
      <c r="H8" s="100">
        <f t="shared" si="2"/>
        <v>0</v>
      </c>
      <c r="I8" s="100">
        <f t="shared" si="3"/>
        <v>-1418400</v>
      </c>
      <c r="J8" s="100"/>
      <c r="K8" s="100"/>
      <c r="L8" s="100"/>
      <c r="M8" s="100"/>
      <c r="N8" s="100"/>
      <c r="O8" s="100">
        <v>4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4280</v>
      </c>
      <c r="B9" s="18">
        <v>-30000</v>
      </c>
      <c r="C9" s="18">
        <v>0</v>
      </c>
      <c r="D9" s="117">
        <f t="shared" si="0"/>
        <v>-30000</v>
      </c>
      <c r="E9" s="21" t="s">
        <v>4281</v>
      </c>
      <c r="F9" s="100">
        <v>24</v>
      </c>
      <c r="G9" s="100">
        <f t="shared" si="1"/>
        <v>-720000</v>
      </c>
      <c r="H9" s="100">
        <f t="shared" si="2"/>
        <v>0</v>
      </c>
      <c r="I9" s="100">
        <f t="shared" si="3"/>
        <v>-720000</v>
      </c>
      <c r="J9" s="100"/>
      <c r="K9" s="100"/>
      <c r="L9" s="100"/>
      <c r="M9" s="100"/>
      <c r="N9" s="100"/>
      <c r="O9" s="100">
        <v>5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-178000</v>
      </c>
      <c r="C10" s="18">
        <v>0</v>
      </c>
      <c r="D10" s="117">
        <f t="shared" si="0"/>
        <v>-178000</v>
      </c>
      <c r="E10" s="19" t="s">
        <v>4284</v>
      </c>
      <c r="F10" s="100">
        <v>24</v>
      </c>
      <c r="G10" s="100">
        <f t="shared" si="1"/>
        <v>-4272000</v>
      </c>
      <c r="H10" s="100">
        <f t="shared" si="2"/>
        <v>0</v>
      </c>
      <c r="I10" s="100">
        <f t="shared" si="3"/>
        <v>-4272000</v>
      </c>
      <c r="J10" s="100"/>
      <c r="K10" s="100"/>
      <c r="L10" s="100"/>
      <c r="M10" s="100"/>
      <c r="N10" s="100"/>
      <c r="O10" s="100">
        <v>6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4285</v>
      </c>
      <c r="B11" s="18">
        <v>-95610</v>
      </c>
      <c r="C11" s="18">
        <v>0</v>
      </c>
      <c r="D11" s="117">
        <f t="shared" si="0"/>
        <v>-95610</v>
      </c>
      <c r="E11" s="19" t="s">
        <v>452</v>
      </c>
      <c r="F11" s="100">
        <v>23</v>
      </c>
      <c r="G11" s="100">
        <f t="shared" si="1"/>
        <v>-2199030</v>
      </c>
      <c r="H11" s="100">
        <f t="shared" si="2"/>
        <v>0</v>
      </c>
      <c r="I11" s="100">
        <f t="shared" si="3"/>
        <v>-2199030</v>
      </c>
      <c r="J11" s="100"/>
      <c r="K11" s="100"/>
      <c r="L11" s="100"/>
      <c r="M11" s="100"/>
      <c r="N11" s="100"/>
      <c r="O11" s="100">
        <v>7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4231</v>
      </c>
      <c r="B12" s="18">
        <v>-84000</v>
      </c>
      <c r="C12" s="18">
        <v>0</v>
      </c>
      <c r="D12" s="117">
        <f t="shared" si="0"/>
        <v>-84000</v>
      </c>
      <c r="E12" s="20" t="s">
        <v>452</v>
      </c>
      <c r="F12" s="100">
        <v>20</v>
      </c>
      <c r="G12" s="100">
        <f t="shared" si="1"/>
        <v>-1680000</v>
      </c>
      <c r="H12" s="100">
        <f t="shared" si="2"/>
        <v>0</v>
      </c>
      <c r="I12" s="100">
        <f t="shared" si="3"/>
        <v>-1680000</v>
      </c>
      <c r="J12" s="100"/>
      <c r="K12" s="100"/>
      <c r="L12" s="100"/>
      <c r="M12" s="100"/>
      <c r="N12" s="100"/>
      <c r="O12" s="100">
        <v>8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4289</v>
      </c>
      <c r="B13" s="18">
        <v>-33000</v>
      </c>
      <c r="C13" s="18">
        <v>0</v>
      </c>
      <c r="D13" s="117">
        <f t="shared" si="0"/>
        <v>-33000</v>
      </c>
      <c r="E13" s="20" t="s">
        <v>452</v>
      </c>
      <c r="F13" s="100">
        <v>18</v>
      </c>
      <c r="G13" s="100">
        <f>B13*F13</f>
        <v>-594000</v>
      </c>
      <c r="H13" s="100">
        <f t="shared" si="2"/>
        <v>0</v>
      </c>
      <c r="I13" s="100">
        <f t="shared" si="3"/>
        <v>-594000</v>
      </c>
      <c r="J13" s="100"/>
      <c r="K13" s="100"/>
      <c r="L13" s="100"/>
      <c r="M13" s="100"/>
      <c r="N13" s="100"/>
      <c r="O13" s="100">
        <v>9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/>
      <c r="C14" s="18">
        <v>0</v>
      </c>
      <c r="D14" s="117">
        <f t="shared" si="0"/>
        <v>0</v>
      </c>
      <c r="E14" s="20"/>
      <c r="F14" s="100">
        <v>17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10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0" t="s">
        <v>4156</v>
      </c>
      <c r="B15" s="18"/>
      <c r="C15" s="18">
        <v>0</v>
      </c>
      <c r="D15" s="121">
        <f t="shared" si="0"/>
        <v>0</v>
      </c>
      <c r="E15" s="20"/>
      <c r="F15" s="100">
        <v>17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11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/>
      <c r="C16" s="18">
        <v>0</v>
      </c>
      <c r="D16" s="117">
        <f t="shared" si="0"/>
        <v>0</v>
      </c>
      <c r="E16" s="20"/>
      <c r="F16" s="100">
        <v>15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12</v>
      </c>
      <c r="P16" s="100">
        <v>18</v>
      </c>
      <c r="Q16" s="100">
        <v>19</v>
      </c>
      <c r="R16" s="100"/>
      <c r="S16" s="100"/>
      <c r="T16" s="100"/>
    </row>
    <row r="17" spans="1:20" x14ac:dyDescent="0.25">
      <c r="A17" s="20" t="s">
        <v>4152</v>
      </c>
      <c r="B17" s="18"/>
      <c r="C17" s="18">
        <v>0</v>
      </c>
      <c r="D17" s="117">
        <f t="shared" si="0"/>
        <v>0</v>
      </c>
      <c r="E17" s="20"/>
      <c r="F17" s="100">
        <v>14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13</v>
      </c>
      <c r="P17" s="100">
        <v>17</v>
      </c>
      <c r="Q17" s="100">
        <v>18</v>
      </c>
      <c r="R17" s="100"/>
      <c r="S17" s="100"/>
      <c r="T17" s="100"/>
    </row>
    <row r="18" spans="1:20" x14ac:dyDescent="0.25">
      <c r="A18" s="20" t="s">
        <v>4169</v>
      </c>
      <c r="B18" s="18"/>
      <c r="C18" s="18">
        <v>0</v>
      </c>
      <c r="D18" s="117">
        <f t="shared" si="0"/>
        <v>0</v>
      </c>
      <c r="E18" s="20"/>
      <c r="F18" s="100">
        <v>13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14</v>
      </c>
      <c r="P18" s="100">
        <v>16</v>
      </c>
      <c r="Q18" s="100">
        <v>17</v>
      </c>
      <c r="R18" s="100"/>
      <c r="S18" s="100"/>
      <c r="T18" s="100"/>
    </row>
    <row r="19" spans="1:20" x14ac:dyDescent="0.25">
      <c r="A19" s="20" t="s">
        <v>4183</v>
      </c>
      <c r="B19" s="18"/>
      <c r="C19" s="18">
        <v>0</v>
      </c>
      <c r="D19" s="117">
        <f t="shared" si="0"/>
        <v>0</v>
      </c>
      <c r="E19" s="20"/>
      <c r="F19" s="100">
        <v>10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15</v>
      </c>
      <c r="P19" s="100">
        <v>15</v>
      </c>
      <c r="Q19" s="100">
        <v>16</v>
      </c>
      <c r="R19" s="100"/>
      <c r="S19" s="100"/>
      <c r="T19" s="100"/>
    </row>
    <row r="20" spans="1:20" x14ac:dyDescent="0.25">
      <c r="A20" s="19" t="s">
        <v>4183</v>
      </c>
      <c r="B20" s="18"/>
      <c r="C20" s="18">
        <v>0</v>
      </c>
      <c r="D20" s="117">
        <f t="shared" si="0"/>
        <v>0</v>
      </c>
      <c r="E20" s="19"/>
      <c r="F20" s="100">
        <v>10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16</v>
      </c>
      <c r="P20" s="100">
        <v>14</v>
      </c>
      <c r="Q20" s="100">
        <v>15</v>
      </c>
      <c r="R20" s="100"/>
      <c r="S20" s="100"/>
      <c r="T20" s="100"/>
    </row>
    <row r="21" spans="1:20" x14ac:dyDescent="0.25">
      <c r="A21" s="19" t="s">
        <v>4188</v>
      </c>
      <c r="B21" s="18"/>
      <c r="C21" s="18">
        <v>0</v>
      </c>
      <c r="D21" s="117">
        <f t="shared" si="0"/>
        <v>0</v>
      </c>
      <c r="E21" s="19"/>
      <c r="F21" s="100">
        <v>10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17</v>
      </c>
      <c r="P21" s="100">
        <v>13</v>
      </c>
      <c r="Q21" s="100">
        <v>14</v>
      </c>
      <c r="R21" s="100"/>
      <c r="S21" s="100"/>
      <c r="T21" s="100"/>
    </row>
    <row r="22" spans="1:20" x14ac:dyDescent="0.25">
      <c r="A22" s="19" t="s">
        <v>4188</v>
      </c>
      <c r="B22" s="18"/>
      <c r="C22" s="18">
        <v>0</v>
      </c>
      <c r="D22" s="117">
        <f t="shared" si="0"/>
        <v>0</v>
      </c>
      <c r="E22" s="19"/>
      <c r="F22" s="100">
        <v>10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18</v>
      </c>
      <c r="P22" s="100">
        <v>12</v>
      </c>
      <c r="Q22" s="100">
        <v>13</v>
      </c>
      <c r="R22" s="100"/>
      <c r="S22" s="100"/>
      <c r="T22" s="100"/>
    </row>
    <row r="23" spans="1:20" x14ac:dyDescent="0.25">
      <c r="A23" s="19" t="s">
        <v>4213</v>
      </c>
      <c r="B23" s="18"/>
      <c r="C23" s="18">
        <v>0</v>
      </c>
      <c r="D23" s="117">
        <f t="shared" si="0"/>
        <v>0</v>
      </c>
      <c r="E23" s="19"/>
      <c r="F23" s="100">
        <v>6</v>
      </c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19</v>
      </c>
      <c r="P23" s="100">
        <v>11</v>
      </c>
      <c r="Q23" s="100">
        <v>12</v>
      </c>
      <c r="R23" s="100"/>
      <c r="S23" s="100"/>
      <c r="T23" s="100"/>
    </row>
    <row r="24" spans="1:20" x14ac:dyDescent="0.25">
      <c r="A24" s="19" t="s">
        <v>4213</v>
      </c>
      <c r="B24" s="18"/>
      <c r="C24" s="18">
        <v>0</v>
      </c>
      <c r="D24" s="117">
        <f t="shared" si="0"/>
        <v>0</v>
      </c>
      <c r="E24" s="19"/>
      <c r="F24" s="100">
        <v>6</v>
      </c>
      <c r="G24" s="100">
        <f t="shared" si="1"/>
        <v>0</v>
      </c>
      <c r="H24" s="100">
        <f t="shared" si="2"/>
        <v>0</v>
      </c>
      <c r="I24" s="100">
        <f t="shared" si="3"/>
        <v>0</v>
      </c>
      <c r="J24" s="100"/>
      <c r="K24" s="100"/>
      <c r="L24" s="100"/>
      <c r="M24" s="100"/>
      <c r="N24" s="100"/>
      <c r="O24" s="100">
        <v>20</v>
      </c>
      <c r="P24" s="100">
        <v>10</v>
      </c>
      <c r="Q24" s="100">
        <v>11</v>
      </c>
      <c r="R24" s="100"/>
      <c r="S24" s="100"/>
      <c r="T24" s="100"/>
    </row>
    <row r="25" spans="1:20" x14ac:dyDescent="0.25">
      <c r="A25" s="19" t="s">
        <v>4221</v>
      </c>
      <c r="B25" s="18"/>
      <c r="C25" s="18">
        <v>0</v>
      </c>
      <c r="D25" s="117">
        <f t="shared" si="0"/>
        <v>0</v>
      </c>
      <c r="E25" s="19"/>
      <c r="F25" s="100">
        <v>6</v>
      </c>
      <c r="G25" s="100">
        <f t="shared" si="1"/>
        <v>0</v>
      </c>
      <c r="H25" s="100">
        <f t="shared" si="2"/>
        <v>0</v>
      </c>
      <c r="I25" s="100">
        <f t="shared" si="3"/>
        <v>0</v>
      </c>
      <c r="J25" s="100"/>
      <c r="K25" s="100"/>
      <c r="L25" s="100"/>
      <c r="M25" s="100"/>
      <c r="N25" s="100"/>
      <c r="O25" s="100">
        <v>21</v>
      </c>
      <c r="P25" s="100">
        <v>9</v>
      </c>
      <c r="Q25" s="100">
        <v>10</v>
      </c>
      <c r="R25" s="100"/>
      <c r="S25" s="100"/>
      <c r="T25" s="100"/>
    </row>
    <row r="26" spans="1:20" x14ac:dyDescent="0.25">
      <c r="A26" s="180" t="s">
        <v>4238</v>
      </c>
      <c r="B26" s="180"/>
      <c r="C26" s="180">
        <v>0</v>
      </c>
      <c r="D26" s="180">
        <f t="shared" si="0"/>
        <v>0</v>
      </c>
      <c r="E26" s="180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22</v>
      </c>
      <c r="P26" s="100">
        <v>8</v>
      </c>
      <c r="Q26" s="100">
        <v>9</v>
      </c>
      <c r="R26" s="100"/>
      <c r="S26" s="100"/>
      <c r="T26" s="100"/>
    </row>
    <row r="27" spans="1:20" x14ac:dyDescent="0.25">
      <c r="A27" s="180" t="s">
        <v>6</v>
      </c>
      <c r="B27" s="117">
        <f>SUM(B2:B26)</f>
        <v>64927</v>
      </c>
      <c r="C27" s="117">
        <f>SUM(C2:C26)</f>
        <v>7906317</v>
      </c>
      <c r="D27" s="117">
        <f>SUM(D2:D26)</f>
        <v>-7841390</v>
      </c>
      <c r="E27" s="18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23</v>
      </c>
      <c r="P27" s="100">
        <v>7</v>
      </c>
      <c r="Q27" s="100">
        <v>8</v>
      </c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8">
        <f>SUM(G2:G26)</f>
        <v>6653860</v>
      </c>
      <c r="H28" s="18">
        <f>SUM(H2:H26)</f>
        <v>237189510</v>
      </c>
      <c r="I28" s="18">
        <f>SUM(I2:I26)</f>
        <v>-230535650</v>
      </c>
      <c r="J28" s="100"/>
      <c r="K28" s="100"/>
      <c r="L28" s="100"/>
      <c r="M28" s="100"/>
      <c r="N28" s="100"/>
      <c r="O28" s="100">
        <v>24</v>
      </c>
      <c r="P28" s="100">
        <v>6</v>
      </c>
      <c r="Q28" s="100">
        <v>7</v>
      </c>
      <c r="R28" s="100"/>
      <c r="S28" s="100"/>
      <c r="T28" s="100"/>
    </row>
    <row r="29" spans="1:20" x14ac:dyDescent="0.25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25</v>
      </c>
      <c r="P29" s="100">
        <v>5</v>
      </c>
      <c r="Q29" s="100">
        <v>6</v>
      </c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26</v>
      </c>
      <c r="P30" s="100">
        <v>4</v>
      </c>
      <c r="Q30" s="100">
        <v>5</v>
      </c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27</v>
      </c>
      <c r="P31" s="100">
        <v>3</v>
      </c>
      <c r="Q31" s="100">
        <v>4</v>
      </c>
      <c r="R31" s="100"/>
      <c r="S31" s="100"/>
      <c r="T31" s="100"/>
    </row>
    <row r="32" spans="1:20" x14ac:dyDescent="0.25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28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-46394117</v>
      </c>
      <c r="E33" s="41" t="s">
        <v>95</v>
      </c>
      <c r="F33" s="100"/>
      <c r="G33" s="18">
        <v>600</v>
      </c>
      <c r="H33" s="18">
        <f>G33*H28/G28</f>
        <v>21388.142521784346</v>
      </c>
      <c r="I33" s="18">
        <f>G33*I28/G28</f>
        <v>-20788.142521784346</v>
      </c>
      <c r="J33" s="100"/>
      <c r="K33" s="100"/>
      <c r="L33" s="100"/>
      <c r="M33" s="100"/>
      <c r="N33" s="100"/>
      <c r="O33" s="100">
        <v>29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-110000</v>
      </c>
      <c r="E34" s="54" t="s">
        <v>4244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30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18"/>
      <c r="C35" s="100"/>
      <c r="D35" s="118">
        <v>-840000</v>
      </c>
      <c r="E35" s="41" t="s">
        <v>4245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-540000</v>
      </c>
      <c r="E36" s="41" t="s">
        <v>4246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-196956</v>
      </c>
      <c r="E37" s="41" t="s">
        <v>4247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-150000</v>
      </c>
      <c r="E38" s="41" t="s">
        <v>4257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1392908</v>
      </c>
      <c r="E39" s="41" t="s">
        <v>4259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-3600000</v>
      </c>
      <c r="E40" s="41" t="s">
        <v>4268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52440</v>
      </c>
      <c r="E41" s="41" t="s">
        <v>4077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51100</v>
      </c>
      <c r="E42" s="41" t="s">
        <v>3808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117000</v>
      </c>
      <c r="E43" s="41" t="s">
        <v>4077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93000</v>
      </c>
      <c r="E44" s="41" t="s">
        <v>4282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178000</v>
      </c>
      <c r="E45" s="41" t="s">
        <v>4284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45610</v>
      </c>
      <c r="E46" s="41" t="s">
        <v>4286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84000</v>
      </c>
      <c r="E47" s="41" t="s">
        <v>4288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33000</v>
      </c>
      <c r="E48" s="41" t="s">
        <v>4288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/>
      <c r="E49" s="41"/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/>
      <c r="E50" s="41"/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/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 t="s">
        <v>25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f>SUM(D33:D53)</f>
        <v>-49784015</v>
      </c>
      <c r="E54" s="100" t="s">
        <v>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1" activePane="bottomLeft" state="frozen"/>
      <selection pane="bottomLeft" activeCell="M248" sqref="M2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909</v>
      </c>
      <c r="H2" s="36">
        <f>IF(B2&gt;0,1,0)</f>
        <v>1</v>
      </c>
      <c r="I2" s="11">
        <f>B2*(G2-H2)</f>
        <v>15163600</v>
      </c>
      <c r="J2" s="53">
        <f>C2*(G2-H2)</f>
        <v>15163600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908</v>
      </c>
      <c r="H3" s="36">
        <f t="shared" ref="H3:H66" si="2">IF(B3&gt;0,1,0)</f>
        <v>1</v>
      </c>
      <c r="I3" s="11">
        <f t="shared" ref="I3:I66" si="3">B3*(G3-H3)</f>
        <v>18049300000</v>
      </c>
      <c r="J3" s="53">
        <f t="shared" ref="J3:J66" si="4">C3*(G3-H3)</f>
        <v>10328009000</v>
      </c>
      <c r="K3" s="53">
        <f t="shared" ref="K3:K66" si="5">D3*(G3-H3)</f>
        <v>7721291000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908</v>
      </c>
      <c r="H4" s="36">
        <f t="shared" si="2"/>
        <v>0</v>
      </c>
      <c r="I4" s="11">
        <f t="shared" si="3"/>
        <v>0</v>
      </c>
      <c r="J4" s="53">
        <f t="shared" si="4"/>
        <v>7718000</v>
      </c>
      <c r="K4" s="53">
        <f t="shared" si="5"/>
        <v>-7718000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906</v>
      </c>
      <c r="H5" s="36">
        <f t="shared" si="2"/>
        <v>1</v>
      </c>
      <c r="I5" s="11">
        <f t="shared" si="3"/>
        <v>1810000000</v>
      </c>
      <c r="J5" s="53">
        <f t="shared" si="4"/>
        <v>0</v>
      </c>
      <c r="K5" s="53">
        <f t="shared" si="5"/>
        <v>1810000000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899</v>
      </c>
      <c r="H6" s="36">
        <f t="shared" si="2"/>
        <v>0</v>
      </c>
      <c r="I6" s="11">
        <f t="shared" si="3"/>
        <v>-4495000</v>
      </c>
      <c r="J6" s="53">
        <f t="shared" si="4"/>
        <v>0</v>
      </c>
      <c r="K6" s="53">
        <f t="shared" si="5"/>
        <v>-4495000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895</v>
      </c>
      <c r="H7" s="36">
        <f t="shared" si="2"/>
        <v>0</v>
      </c>
      <c r="I7" s="11">
        <f t="shared" si="3"/>
        <v>-1074447500</v>
      </c>
      <c r="J7" s="53">
        <f t="shared" si="4"/>
        <v>0</v>
      </c>
      <c r="K7" s="53">
        <f t="shared" si="5"/>
        <v>-1074447500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894</v>
      </c>
      <c r="H8" s="36">
        <f t="shared" si="2"/>
        <v>0</v>
      </c>
      <c r="I8" s="11">
        <f t="shared" si="3"/>
        <v>-178800000</v>
      </c>
      <c r="J8" s="53">
        <f t="shared" si="4"/>
        <v>0</v>
      </c>
      <c r="K8" s="53">
        <f t="shared" si="5"/>
        <v>-178800000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892</v>
      </c>
      <c r="H9" s="36">
        <f t="shared" si="2"/>
        <v>0</v>
      </c>
      <c r="I9" s="11">
        <f t="shared" si="3"/>
        <v>-629306000</v>
      </c>
      <c r="J9" s="53">
        <f t="shared" si="4"/>
        <v>0</v>
      </c>
      <c r="K9" s="53">
        <f t="shared" si="5"/>
        <v>-629306000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883</v>
      </c>
      <c r="H10" s="36">
        <f t="shared" si="2"/>
        <v>0</v>
      </c>
      <c r="I10" s="11">
        <f t="shared" si="3"/>
        <v>-176600000</v>
      </c>
      <c r="J10" s="53">
        <f t="shared" si="4"/>
        <v>0</v>
      </c>
      <c r="K10" s="53">
        <f t="shared" si="5"/>
        <v>-176600000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883</v>
      </c>
      <c r="H11" s="36">
        <f t="shared" si="2"/>
        <v>1</v>
      </c>
      <c r="I11" s="11">
        <f t="shared" si="3"/>
        <v>882000000</v>
      </c>
      <c r="J11" s="53">
        <f t="shared" si="4"/>
        <v>0</v>
      </c>
      <c r="K11" s="53">
        <f t="shared" si="5"/>
        <v>882000000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879</v>
      </c>
      <c r="H12" s="36">
        <f t="shared" si="2"/>
        <v>0</v>
      </c>
      <c r="I12" s="11">
        <f t="shared" si="3"/>
        <v>-263700000</v>
      </c>
      <c r="J12" s="53">
        <f t="shared" si="4"/>
        <v>0</v>
      </c>
      <c r="K12" s="53">
        <f t="shared" si="5"/>
        <v>-263700000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874</v>
      </c>
      <c r="H13" s="36">
        <f t="shared" si="2"/>
        <v>0</v>
      </c>
      <c r="I13" s="11">
        <f t="shared" si="3"/>
        <v>-54188000</v>
      </c>
      <c r="J13" s="53">
        <f t="shared" si="4"/>
        <v>0</v>
      </c>
      <c r="K13" s="53">
        <f t="shared" si="5"/>
        <v>-54188000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874</v>
      </c>
      <c r="H14" s="36">
        <f t="shared" si="2"/>
        <v>1</v>
      </c>
      <c r="I14" s="11">
        <f t="shared" si="3"/>
        <v>1746000000</v>
      </c>
      <c r="J14" s="53">
        <f t="shared" si="4"/>
        <v>0</v>
      </c>
      <c r="K14" s="53">
        <f t="shared" si="5"/>
        <v>1746000000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873</v>
      </c>
      <c r="H15" s="36">
        <f t="shared" si="2"/>
        <v>1</v>
      </c>
      <c r="I15" s="11">
        <f t="shared" si="3"/>
        <v>1569600000</v>
      </c>
      <c r="J15" s="53">
        <f t="shared" si="4"/>
        <v>0</v>
      </c>
      <c r="K15" s="53">
        <f t="shared" si="5"/>
        <v>1569600000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873</v>
      </c>
      <c r="H16" s="36">
        <f t="shared" si="2"/>
        <v>0</v>
      </c>
      <c r="I16" s="11">
        <f t="shared" si="3"/>
        <v>-174600000</v>
      </c>
      <c r="J16" s="53">
        <f t="shared" si="4"/>
        <v>0</v>
      </c>
      <c r="K16" s="53">
        <f t="shared" si="5"/>
        <v>-174600000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869</v>
      </c>
      <c r="H17" s="36">
        <f t="shared" si="2"/>
        <v>0</v>
      </c>
      <c r="I17" s="11">
        <f t="shared" si="3"/>
        <v>-1738000000</v>
      </c>
      <c r="J17" s="53">
        <f t="shared" si="4"/>
        <v>0</v>
      </c>
      <c r="K17" s="53">
        <f t="shared" si="5"/>
        <v>-1738000000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868</v>
      </c>
      <c r="H18" s="36">
        <f t="shared" si="2"/>
        <v>0</v>
      </c>
      <c r="I18" s="11">
        <f t="shared" si="3"/>
        <v>-260400000</v>
      </c>
      <c r="J18" s="53">
        <f t="shared" si="4"/>
        <v>0</v>
      </c>
      <c r="K18" s="53">
        <f t="shared" si="5"/>
        <v>-260400000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867</v>
      </c>
      <c r="H19" s="36">
        <f t="shared" si="2"/>
        <v>0</v>
      </c>
      <c r="I19" s="11">
        <f t="shared" si="3"/>
        <v>-173400000</v>
      </c>
      <c r="J19" s="53">
        <f t="shared" si="4"/>
        <v>0</v>
      </c>
      <c r="K19" s="53">
        <f t="shared" si="5"/>
        <v>-173400000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865</v>
      </c>
      <c r="H20" s="36">
        <f t="shared" si="2"/>
        <v>1</v>
      </c>
      <c r="I20" s="11">
        <f t="shared" si="3"/>
        <v>234220896</v>
      </c>
      <c r="J20" s="53">
        <f t="shared" si="4"/>
        <v>127398528</v>
      </c>
      <c r="K20" s="53">
        <f t="shared" si="5"/>
        <v>106822368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863</v>
      </c>
      <c r="H21" s="36">
        <f t="shared" si="2"/>
        <v>0</v>
      </c>
      <c r="I21" s="11">
        <f t="shared" si="3"/>
        <v>-1299419100</v>
      </c>
      <c r="J21" s="53">
        <f t="shared" si="4"/>
        <v>0</v>
      </c>
      <c r="K21" s="53">
        <f t="shared" si="5"/>
        <v>-1299419100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860</v>
      </c>
      <c r="H22" s="36">
        <f t="shared" si="2"/>
        <v>1</v>
      </c>
      <c r="I22" s="11">
        <f t="shared" si="3"/>
        <v>2577000000</v>
      </c>
      <c r="J22" s="53">
        <f t="shared" si="4"/>
        <v>0</v>
      </c>
      <c r="K22" s="53">
        <f t="shared" si="5"/>
        <v>2577000000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859</v>
      </c>
      <c r="H23" s="36">
        <f t="shared" si="2"/>
        <v>1</v>
      </c>
      <c r="I23" s="11">
        <f t="shared" si="3"/>
        <v>858000000</v>
      </c>
      <c r="J23" s="53">
        <f t="shared" si="4"/>
        <v>0</v>
      </c>
      <c r="K23" s="53">
        <f t="shared" si="5"/>
        <v>858000000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858</v>
      </c>
      <c r="H24" s="36">
        <f t="shared" si="2"/>
        <v>0</v>
      </c>
      <c r="I24" s="11">
        <f t="shared" si="3"/>
        <v>-2574772200</v>
      </c>
      <c r="J24" s="53">
        <f t="shared" si="4"/>
        <v>0</v>
      </c>
      <c r="K24" s="53">
        <f t="shared" si="5"/>
        <v>-2574772200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843</v>
      </c>
      <c r="H25" s="36">
        <f t="shared" si="2"/>
        <v>1</v>
      </c>
      <c r="I25" s="11">
        <f t="shared" si="3"/>
        <v>1263000000</v>
      </c>
      <c r="J25" s="53">
        <f t="shared" si="4"/>
        <v>0</v>
      </c>
      <c r="K25" s="53">
        <f t="shared" si="5"/>
        <v>1263000000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835</v>
      </c>
      <c r="H26" s="36">
        <f t="shared" si="2"/>
        <v>0</v>
      </c>
      <c r="I26" s="11">
        <f t="shared" si="3"/>
        <v>-136940000</v>
      </c>
      <c r="J26" s="53">
        <f t="shared" si="4"/>
        <v>0</v>
      </c>
      <c r="K26" s="53">
        <f t="shared" si="5"/>
        <v>-136940000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834</v>
      </c>
      <c r="H27" s="36">
        <f t="shared" si="2"/>
        <v>1</v>
      </c>
      <c r="I27" s="11">
        <f t="shared" si="3"/>
        <v>166094369</v>
      </c>
      <c r="J27" s="53">
        <f t="shared" si="4"/>
        <v>89475029</v>
      </c>
      <c r="K27" s="53">
        <f t="shared" si="5"/>
        <v>76619340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832</v>
      </c>
      <c r="H28" s="36">
        <f t="shared" si="2"/>
        <v>0</v>
      </c>
      <c r="I28" s="11">
        <f t="shared" si="3"/>
        <v>-183872000</v>
      </c>
      <c r="J28" s="53">
        <f t="shared" si="4"/>
        <v>-183872000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832</v>
      </c>
      <c r="H29" s="36">
        <f t="shared" si="2"/>
        <v>0</v>
      </c>
      <c r="I29" s="11">
        <f t="shared" si="3"/>
        <v>-416416000</v>
      </c>
      <c r="J29" s="53">
        <f t="shared" si="4"/>
        <v>0</v>
      </c>
      <c r="K29" s="53">
        <f t="shared" si="5"/>
        <v>-416416000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832</v>
      </c>
      <c r="H30" s="36">
        <f t="shared" si="2"/>
        <v>0</v>
      </c>
      <c r="I30" s="11">
        <f t="shared" si="3"/>
        <v>-12480000000</v>
      </c>
      <c r="J30" s="53">
        <f t="shared" si="4"/>
        <v>-12480000000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815</v>
      </c>
      <c r="H31" s="36">
        <f t="shared" si="2"/>
        <v>0</v>
      </c>
      <c r="I31" s="11">
        <f t="shared" si="3"/>
        <v>-2453883500</v>
      </c>
      <c r="J31" s="53">
        <f t="shared" si="4"/>
        <v>0</v>
      </c>
      <c r="K31" s="53">
        <f t="shared" si="5"/>
        <v>-2453883500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813</v>
      </c>
      <c r="H32" s="36">
        <f t="shared" si="2"/>
        <v>0</v>
      </c>
      <c r="I32" s="11">
        <f t="shared" si="3"/>
        <v>-2443796700</v>
      </c>
      <c r="J32" s="53">
        <f t="shared" si="4"/>
        <v>0</v>
      </c>
      <c r="K32" s="53">
        <f t="shared" si="5"/>
        <v>-2443796700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812</v>
      </c>
      <c r="H33" s="36">
        <f t="shared" si="2"/>
        <v>0</v>
      </c>
      <c r="I33" s="11">
        <f t="shared" si="3"/>
        <v>-727146000</v>
      </c>
      <c r="J33" s="53">
        <f t="shared" si="4"/>
        <v>0</v>
      </c>
      <c r="K33" s="53">
        <f t="shared" si="5"/>
        <v>-727146000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812</v>
      </c>
      <c r="H34" s="36">
        <f t="shared" si="2"/>
        <v>0</v>
      </c>
      <c r="I34" s="11">
        <f t="shared" si="3"/>
        <v>0</v>
      </c>
      <c r="J34" s="53">
        <f t="shared" si="4"/>
        <v>812000000</v>
      </c>
      <c r="K34" s="53">
        <f t="shared" si="5"/>
        <v>-812000000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803</v>
      </c>
      <c r="H35" s="36">
        <f t="shared" si="2"/>
        <v>1</v>
      </c>
      <c r="I35" s="11">
        <f t="shared" si="3"/>
        <v>42082544</v>
      </c>
      <c r="J35" s="53">
        <f t="shared" si="4"/>
        <v>-17373726</v>
      </c>
      <c r="K35" s="53">
        <f t="shared" si="5"/>
        <v>59456270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803</v>
      </c>
      <c r="H36" s="36">
        <f t="shared" si="2"/>
        <v>0</v>
      </c>
      <c r="I36" s="11">
        <f t="shared" si="3"/>
        <v>0</v>
      </c>
      <c r="J36" s="53">
        <f t="shared" si="4"/>
        <v>17395389</v>
      </c>
      <c r="K36" s="53">
        <f t="shared" si="5"/>
        <v>-17395389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793</v>
      </c>
      <c r="H37" s="36">
        <f t="shared" si="2"/>
        <v>0</v>
      </c>
      <c r="I37" s="11">
        <f t="shared" si="3"/>
        <v>-43615000</v>
      </c>
      <c r="J37" s="53">
        <f t="shared" si="4"/>
        <v>0</v>
      </c>
      <c r="K37" s="53">
        <f t="shared" si="5"/>
        <v>-43615000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792</v>
      </c>
      <c r="H38" s="36">
        <f t="shared" si="2"/>
        <v>1</v>
      </c>
      <c r="I38" s="11">
        <f t="shared" si="3"/>
        <v>2373000000</v>
      </c>
      <c r="J38" s="53">
        <f t="shared" si="4"/>
        <v>2373000000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791</v>
      </c>
      <c r="H39" s="36">
        <f t="shared" si="2"/>
        <v>1</v>
      </c>
      <c r="I39" s="11">
        <f t="shared" si="3"/>
        <v>1975000000</v>
      </c>
      <c r="J39" s="53">
        <f t="shared" si="4"/>
        <v>1975000000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791</v>
      </c>
      <c r="H40" s="36">
        <f t="shared" si="2"/>
        <v>0</v>
      </c>
      <c r="I40" s="11">
        <f t="shared" si="3"/>
        <v>-39550000</v>
      </c>
      <c r="J40" s="53">
        <f t="shared" si="4"/>
        <v>0</v>
      </c>
      <c r="K40" s="53">
        <f t="shared" si="5"/>
        <v>-39550000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791</v>
      </c>
      <c r="H41" s="36">
        <f t="shared" si="2"/>
        <v>1</v>
      </c>
      <c r="I41" s="11">
        <f t="shared" si="3"/>
        <v>2370000000</v>
      </c>
      <c r="J41" s="53">
        <f t="shared" si="4"/>
        <v>0</v>
      </c>
      <c r="K41" s="53">
        <f t="shared" si="5"/>
        <v>2370000000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788</v>
      </c>
      <c r="H42" s="36">
        <f t="shared" si="2"/>
        <v>0</v>
      </c>
      <c r="I42" s="11">
        <f t="shared" si="3"/>
        <v>-70289600</v>
      </c>
      <c r="J42" s="53">
        <f t="shared" si="4"/>
        <v>0</v>
      </c>
      <c r="K42" s="53">
        <f t="shared" si="5"/>
        <v>-70289600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784</v>
      </c>
      <c r="H43" s="36">
        <f t="shared" si="2"/>
        <v>0</v>
      </c>
      <c r="I43" s="11">
        <f t="shared" si="3"/>
        <v>-156800000</v>
      </c>
      <c r="J43" s="53">
        <f t="shared" si="4"/>
        <v>0</v>
      </c>
      <c r="K43" s="53">
        <f t="shared" si="5"/>
        <v>-156800000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782</v>
      </c>
      <c r="H44" s="36">
        <f t="shared" si="2"/>
        <v>0</v>
      </c>
      <c r="I44" s="11">
        <f t="shared" si="3"/>
        <v>-156400000</v>
      </c>
      <c r="J44" s="53">
        <f t="shared" si="4"/>
        <v>0</v>
      </c>
      <c r="K44" s="53">
        <f t="shared" si="5"/>
        <v>-156400000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782</v>
      </c>
      <c r="H45" s="36">
        <f t="shared" si="2"/>
        <v>0</v>
      </c>
      <c r="I45" s="11">
        <f t="shared" si="3"/>
        <v>-437920000</v>
      </c>
      <c r="J45" s="53">
        <f t="shared" si="4"/>
        <v>0</v>
      </c>
      <c r="K45" s="53">
        <f t="shared" si="5"/>
        <v>-437920000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778</v>
      </c>
      <c r="H46" s="36">
        <f t="shared" si="2"/>
        <v>0</v>
      </c>
      <c r="I46" s="11">
        <f t="shared" si="3"/>
        <v>-548879000</v>
      </c>
      <c r="J46" s="53">
        <f t="shared" si="4"/>
        <v>0</v>
      </c>
      <c r="K46" s="53">
        <f t="shared" si="5"/>
        <v>-548879000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772</v>
      </c>
      <c r="H47" s="36">
        <f t="shared" si="2"/>
        <v>1</v>
      </c>
      <c r="I47" s="11">
        <f t="shared" si="3"/>
        <v>31768284</v>
      </c>
      <c r="J47" s="53">
        <f t="shared" si="4"/>
        <v>5175723</v>
      </c>
      <c r="K47" s="53">
        <f t="shared" si="5"/>
        <v>26592561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772</v>
      </c>
      <c r="H48" s="36">
        <f t="shared" si="2"/>
        <v>1</v>
      </c>
      <c r="I48" s="11">
        <f t="shared" si="3"/>
        <v>1314323700</v>
      </c>
      <c r="J48" s="53">
        <f t="shared" si="4"/>
        <v>0</v>
      </c>
      <c r="K48" s="53">
        <f t="shared" si="5"/>
        <v>1314323700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763</v>
      </c>
      <c r="H49" s="36">
        <f t="shared" si="2"/>
        <v>0</v>
      </c>
      <c r="I49" s="11">
        <f t="shared" si="3"/>
        <v>-118265000</v>
      </c>
      <c r="J49" s="53">
        <f t="shared" si="4"/>
        <v>0</v>
      </c>
      <c r="K49" s="53">
        <f t="shared" si="5"/>
        <v>-118265000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763</v>
      </c>
      <c r="H50" s="36">
        <f t="shared" si="2"/>
        <v>0</v>
      </c>
      <c r="I50" s="11">
        <f t="shared" si="3"/>
        <v>-105294000</v>
      </c>
      <c r="J50" s="53">
        <f t="shared" si="4"/>
        <v>0</v>
      </c>
      <c r="K50" s="53">
        <f t="shared" si="5"/>
        <v>-105294000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763</v>
      </c>
      <c r="H51" s="36">
        <f t="shared" si="2"/>
        <v>0</v>
      </c>
      <c r="I51" s="11">
        <f t="shared" si="3"/>
        <v>-564620000</v>
      </c>
      <c r="J51" s="53">
        <f t="shared" si="4"/>
        <v>0</v>
      </c>
      <c r="K51" s="53">
        <f t="shared" si="5"/>
        <v>-564620000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763</v>
      </c>
      <c r="H52" s="36">
        <f t="shared" si="2"/>
        <v>0</v>
      </c>
      <c r="I52" s="11">
        <f t="shared" si="3"/>
        <v>-152600000</v>
      </c>
      <c r="J52" s="53">
        <f t="shared" si="4"/>
        <v>0</v>
      </c>
      <c r="K52" s="53">
        <f t="shared" si="5"/>
        <v>-152600000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762</v>
      </c>
      <c r="H53" s="36">
        <f t="shared" si="2"/>
        <v>0</v>
      </c>
      <c r="I53" s="11">
        <f t="shared" si="3"/>
        <v>-803910000</v>
      </c>
      <c r="J53" s="53">
        <f t="shared" si="4"/>
        <v>0</v>
      </c>
      <c r="K53" s="53">
        <f t="shared" si="5"/>
        <v>-803910000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762</v>
      </c>
      <c r="H54" s="36">
        <f t="shared" si="2"/>
        <v>0</v>
      </c>
      <c r="I54" s="11">
        <f t="shared" si="3"/>
        <v>-152400000</v>
      </c>
      <c r="J54" s="53">
        <f t="shared" si="4"/>
        <v>0</v>
      </c>
      <c r="K54" s="53">
        <f t="shared" si="5"/>
        <v>-152400000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762</v>
      </c>
      <c r="H55" s="36">
        <f t="shared" si="2"/>
        <v>0</v>
      </c>
      <c r="I55" s="11">
        <f t="shared" si="3"/>
        <v>-762381000</v>
      </c>
      <c r="J55" s="53">
        <f t="shared" si="4"/>
        <v>0</v>
      </c>
      <c r="K55" s="53">
        <f t="shared" si="5"/>
        <v>-762381000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762</v>
      </c>
      <c r="H56" s="36">
        <f t="shared" si="2"/>
        <v>0</v>
      </c>
      <c r="I56" s="11">
        <f t="shared" si="3"/>
        <v>-28956000</v>
      </c>
      <c r="J56" s="53">
        <f t="shared" si="4"/>
        <v>0</v>
      </c>
      <c r="K56" s="53">
        <f t="shared" si="5"/>
        <v>-28956000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762</v>
      </c>
      <c r="H57" s="36">
        <f t="shared" si="2"/>
        <v>0</v>
      </c>
      <c r="I57" s="11">
        <f t="shared" si="3"/>
        <v>-80010000</v>
      </c>
      <c r="J57" s="53">
        <f t="shared" si="4"/>
        <v>0</v>
      </c>
      <c r="K57" s="53">
        <f t="shared" si="5"/>
        <v>-80010000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762</v>
      </c>
      <c r="H58" s="36">
        <f t="shared" si="2"/>
        <v>0</v>
      </c>
      <c r="I58" s="11">
        <f t="shared" si="3"/>
        <v>-45720000</v>
      </c>
      <c r="J58" s="53">
        <f t="shared" si="4"/>
        <v>0</v>
      </c>
      <c r="K58" s="53">
        <f t="shared" si="5"/>
        <v>-45720000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759</v>
      </c>
      <c r="H59" s="36">
        <f t="shared" si="2"/>
        <v>1</v>
      </c>
      <c r="I59" s="11">
        <f t="shared" si="3"/>
        <v>758000000</v>
      </c>
      <c r="J59" s="53">
        <f t="shared" si="4"/>
        <v>758000000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758</v>
      </c>
      <c r="H60" s="36">
        <f t="shared" si="2"/>
        <v>1</v>
      </c>
      <c r="I60" s="11">
        <f t="shared" si="3"/>
        <v>2649500000</v>
      </c>
      <c r="J60" s="53">
        <f t="shared" si="4"/>
        <v>2649500000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756</v>
      </c>
      <c r="H61" s="36">
        <f t="shared" si="2"/>
        <v>1</v>
      </c>
      <c r="I61" s="11">
        <f t="shared" si="3"/>
        <v>755000000</v>
      </c>
      <c r="J61" s="53">
        <f t="shared" si="4"/>
        <v>755000000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756</v>
      </c>
      <c r="H62" s="36">
        <f t="shared" si="2"/>
        <v>1</v>
      </c>
      <c r="I62" s="11">
        <f t="shared" si="3"/>
        <v>2265000000</v>
      </c>
      <c r="J62" s="53">
        <f t="shared" si="4"/>
        <v>2265000000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754</v>
      </c>
      <c r="H63" s="36">
        <f t="shared" si="2"/>
        <v>0</v>
      </c>
      <c r="I63" s="11">
        <f t="shared" si="3"/>
        <v>-150800000</v>
      </c>
      <c r="J63" s="53">
        <f t="shared" si="4"/>
        <v>0</v>
      </c>
      <c r="K63" s="53">
        <f t="shared" si="5"/>
        <v>-150800000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749</v>
      </c>
      <c r="H64" s="36">
        <f t="shared" si="2"/>
        <v>0</v>
      </c>
      <c r="I64" s="11">
        <f t="shared" si="3"/>
        <v>-37450000</v>
      </c>
      <c r="J64" s="53">
        <f t="shared" si="4"/>
        <v>0</v>
      </c>
      <c r="K64" s="53">
        <f t="shared" si="5"/>
        <v>-37450000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745</v>
      </c>
      <c r="H65" s="36">
        <f t="shared" si="2"/>
        <v>0</v>
      </c>
      <c r="I65" s="11">
        <f t="shared" si="3"/>
        <v>-149000000</v>
      </c>
      <c r="J65" s="53">
        <f t="shared" si="4"/>
        <v>0</v>
      </c>
      <c r="K65" s="53">
        <f t="shared" si="5"/>
        <v>-149000000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742</v>
      </c>
      <c r="H66" s="36">
        <f t="shared" si="2"/>
        <v>0</v>
      </c>
      <c r="I66" s="11">
        <f t="shared" si="3"/>
        <v>-126140000</v>
      </c>
      <c r="J66" s="53">
        <f t="shared" si="4"/>
        <v>0</v>
      </c>
      <c r="K66" s="53">
        <f t="shared" si="5"/>
        <v>-126140000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741</v>
      </c>
      <c r="H67" s="36">
        <f t="shared" ref="H67:H131" si="8">IF(B67&gt;0,1,0)</f>
        <v>1</v>
      </c>
      <c r="I67" s="11">
        <f t="shared" ref="I67:I119" si="9">B67*(G67-H67)</f>
        <v>67580500</v>
      </c>
      <c r="J67" s="53">
        <f t="shared" ref="J67:J131" si="10">C67*(G67-H67)</f>
        <v>48635020</v>
      </c>
      <c r="K67" s="53">
        <f t="shared" ref="K67:K131" si="11">D67*(G67-H67)</f>
        <v>18945480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723</v>
      </c>
      <c r="H68" s="36">
        <f t="shared" si="8"/>
        <v>0</v>
      </c>
      <c r="I68" s="11">
        <f t="shared" si="9"/>
        <v>-104835000</v>
      </c>
      <c r="J68" s="53">
        <f t="shared" si="10"/>
        <v>0</v>
      </c>
      <c r="K68" s="53">
        <f t="shared" si="11"/>
        <v>-104835000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716</v>
      </c>
      <c r="H69" s="36">
        <f t="shared" si="8"/>
        <v>1</v>
      </c>
      <c r="I69" s="11">
        <f t="shared" si="9"/>
        <v>700700000</v>
      </c>
      <c r="J69" s="53">
        <f t="shared" si="10"/>
        <v>0</v>
      </c>
      <c r="K69" s="53">
        <f t="shared" si="11"/>
        <v>700700000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713</v>
      </c>
      <c r="H70" s="36">
        <f t="shared" si="8"/>
        <v>0</v>
      </c>
      <c r="I70" s="11">
        <f t="shared" si="9"/>
        <v>-32798000</v>
      </c>
      <c r="J70" s="53">
        <f t="shared" si="10"/>
        <v>0</v>
      </c>
      <c r="K70" s="53">
        <f t="shared" si="11"/>
        <v>-32798000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711</v>
      </c>
      <c r="H71" s="36">
        <f t="shared" si="8"/>
        <v>1</v>
      </c>
      <c r="I71" s="11">
        <f t="shared" si="9"/>
        <v>81889980</v>
      </c>
      <c r="J71" s="53">
        <f t="shared" si="10"/>
        <v>73706520</v>
      </c>
      <c r="K71" s="53">
        <f t="shared" si="11"/>
        <v>8183460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710</v>
      </c>
      <c r="H72" s="36">
        <f t="shared" si="8"/>
        <v>0</v>
      </c>
      <c r="I72" s="11">
        <f t="shared" si="9"/>
        <v>-107897990</v>
      </c>
      <c r="J72" s="53">
        <f t="shared" si="10"/>
        <v>0</v>
      </c>
      <c r="K72" s="53">
        <f t="shared" si="11"/>
        <v>-107897990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709</v>
      </c>
      <c r="H73" s="36">
        <f t="shared" si="8"/>
        <v>0</v>
      </c>
      <c r="I73" s="11">
        <f t="shared" si="9"/>
        <v>-571099500</v>
      </c>
      <c r="J73" s="53">
        <f t="shared" si="10"/>
        <v>0</v>
      </c>
      <c r="K73" s="53">
        <f t="shared" si="11"/>
        <v>-571099500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702</v>
      </c>
      <c r="H74" s="36">
        <f t="shared" si="8"/>
        <v>1</v>
      </c>
      <c r="I74" s="11">
        <f t="shared" si="9"/>
        <v>4903495000</v>
      </c>
      <c r="J74" s="53">
        <f t="shared" si="10"/>
        <v>0</v>
      </c>
      <c r="K74" s="53">
        <f t="shared" si="11"/>
        <v>4903495000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701</v>
      </c>
      <c r="H75" s="36">
        <f t="shared" si="8"/>
        <v>1</v>
      </c>
      <c r="I75" s="11">
        <f t="shared" si="9"/>
        <v>2100000000</v>
      </c>
      <c r="J75" s="53">
        <f t="shared" si="10"/>
        <v>0</v>
      </c>
      <c r="K75" s="53">
        <f t="shared" si="11"/>
        <v>2100000000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699</v>
      </c>
      <c r="H76" s="36">
        <f t="shared" si="8"/>
        <v>1</v>
      </c>
      <c r="I76" s="11">
        <f t="shared" si="9"/>
        <v>2094000000</v>
      </c>
      <c r="J76" s="53">
        <f t="shared" si="10"/>
        <v>0</v>
      </c>
      <c r="K76" s="53">
        <f t="shared" si="11"/>
        <v>2094000000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698</v>
      </c>
      <c r="H77" s="36">
        <f t="shared" si="8"/>
        <v>1</v>
      </c>
      <c r="I77" s="11">
        <f t="shared" si="9"/>
        <v>2091000000</v>
      </c>
      <c r="J77" s="53">
        <f t="shared" si="10"/>
        <v>0</v>
      </c>
      <c r="K77" s="53">
        <f t="shared" si="11"/>
        <v>2091000000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697</v>
      </c>
      <c r="H78" s="36">
        <f t="shared" si="8"/>
        <v>0</v>
      </c>
      <c r="I78" s="11">
        <f t="shared" si="9"/>
        <v>-2230400000</v>
      </c>
      <c r="J78" s="53">
        <f t="shared" si="10"/>
        <v>-2230400000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696</v>
      </c>
      <c r="H79" s="36">
        <f t="shared" si="8"/>
        <v>0</v>
      </c>
      <c r="I79" s="11">
        <f t="shared" si="9"/>
        <v>-556800000</v>
      </c>
      <c r="J79" s="53">
        <f t="shared" si="10"/>
        <v>-556800000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695</v>
      </c>
      <c r="H80" s="36">
        <f t="shared" si="8"/>
        <v>0</v>
      </c>
      <c r="I80" s="11">
        <f t="shared" si="9"/>
        <v>-33633135</v>
      </c>
      <c r="J80" s="53">
        <f t="shared" si="10"/>
        <v>0</v>
      </c>
      <c r="K80" s="53">
        <f t="shared" si="11"/>
        <v>-33633135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694</v>
      </c>
      <c r="H81" s="36">
        <f t="shared" si="8"/>
        <v>0</v>
      </c>
      <c r="I81" s="11">
        <f t="shared" si="9"/>
        <v>-97160000</v>
      </c>
      <c r="J81" s="53">
        <f t="shared" si="10"/>
        <v>0</v>
      </c>
      <c r="K81" s="53">
        <f t="shared" si="11"/>
        <v>-97160000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693</v>
      </c>
      <c r="H82" s="36">
        <f t="shared" si="8"/>
        <v>0</v>
      </c>
      <c r="I82" s="11">
        <f t="shared" si="9"/>
        <v>-173250000</v>
      </c>
      <c r="J82" s="53">
        <f t="shared" si="10"/>
        <v>0</v>
      </c>
      <c r="K82" s="53">
        <f t="shared" si="11"/>
        <v>-173250000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692</v>
      </c>
      <c r="H83" s="36">
        <f t="shared" si="8"/>
        <v>0</v>
      </c>
      <c r="I83" s="11">
        <f t="shared" si="9"/>
        <v>-138400000</v>
      </c>
      <c r="J83" s="53">
        <f t="shared" si="10"/>
        <v>0</v>
      </c>
      <c r="K83" s="53">
        <f t="shared" si="11"/>
        <v>-138400000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689</v>
      </c>
      <c r="H84" s="36">
        <f t="shared" si="8"/>
        <v>1</v>
      </c>
      <c r="I84" s="11">
        <f t="shared" si="9"/>
        <v>1125017600</v>
      </c>
      <c r="J84" s="53">
        <f t="shared" si="10"/>
        <v>0</v>
      </c>
      <c r="K84" s="53">
        <f t="shared" si="11"/>
        <v>1125017600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685</v>
      </c>
      <c r="H85" s="36">
        <f t="shared" si="8"/>
        <v>1</v>
      </c>
      <c r="I85" s="11">
        <f t="shared" si="9"/>
        <v>1710000000</v>
      </c>
      <c r="J85" s="53">
        <f t="shared" si="10"/>
        <v>0</v>
      </c>
      <c r="K85" s="53">
        <f t="shared" si="11"/>
        <v>1710000000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681</v>
      </c>
      <c r="H86" s="36">
        <f t="shared" si="8"/>
        <v>1</v>
      </c>
      <c r="I86" s="11">
        <f t="shared" si="9"/>
        <v>126684000</v>
      </c>
      <c r="J86" s="53">
        <f t="shared" si="10"/>
        <v>57766000</v>
      </c>
      <c r="K86" s="53">
        <f t="shared" si="11"/>
        <v>68918000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678</v>
      </c>
      <c r="H87" s="36">
        <f t="shared" si="8"/>
        <v>0</v>
      </c>
      <c r="I87" s="11">
        <f t="shared" si="9"/>
        <v>-135600000</v>
      </c>
      <c r="J87" s="53">
        <f t="shared" si="10"/>
        <v>0</v>
      </c>
      <c r="K87" s="53">
        <f t="shared" si="11"/>
        <v>-135600000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677</v>
      </c>
      <c r="H88" s="36">
        <f t="shared" si="8"/>
        <v>0</v>
      </c>
      <c r="I88" s="11">
        <f t="shared" si="9"/>
        <v>-79886000</v>
      </c>
      <c r="J88" s="53">
        <f t="shared" si="10"/>
        <v>-46713000</v>
      </c>
      <c r="K88" s="53">
        <f t="shared" si="11"/>
        <v>-33173000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669</v>
      </c>
      <c r="H89" s="36">
        <f t="shared" si="8"/>
        <v>0</v>
      </c>
      <c r="I89" s="11">
        <f t="shared" si="9"/>
        <v>-2141402100</v>
      </c>
      <c r="J89" s="53">
        <f t="shared" si="10"/>
        <v>0</v>
      </c>
      <c r="K89" s="53">
        <f t="shared" si="11"/>
        <v>-2141402100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668</v>
      </c>
      <c r="H90" s="36">
        <f t="shared" si="8"/>
        <v>0</v>
      </c>
      <c r="I90" s="11">
        <f t="shared" si="9"/>
        <v>-2138201200</v>
      </c>
      <c r="J90" s="53">
        <f t="shared" si="10"/>
        <v>0</v>
      </c>
      <c r="K90" s="53">
        <f t="shared" si="11"/>
        <v>-2138201200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667</v>
      </c>
      <c r="H91" s="36">
        <f t="shared" si="8"/>
        <v>0</v>
      </c>
      <c r="I91" s="11">
        <f t="shared" si="9"/>
        <v>-2135000300</v>
      </c>
      <c r="J91" s="53">
        <f t="shared" si="10"/>
        <v>0</v>
      </c>
      <c r="K91" s="53">
        <f t="shared" si="11"/>
        <v>-2135000300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666</v>
      </c>
      <c r="H92" s="36">
        <f t="shared" si="8"/>
        <v>0</v>
      </c>
      <c r="I92" s="11">
        <f t="shared" si="9"/>
        <v>-2131799400</v>
      </c>
      <c r="J92" s="53">
        <f t="shared" si="10"/>
        <v>0</v>
      </c>
      <c r="K92" s="53">
        <f t="shared" si="11"/>
        <v>-2131799400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665</v>
      </c>
      <c r="H93" s="36">
        <f t="shared" si="8"/>
        <v>0</v>
      </c>
      <c r="I93" s="11">
        <f t="shared" si="9"/>
        <v>-2128598500</v>
      </c>
      <c r="J93" s="53">
        <f t="shared" si="10"/>
        <v>0</v>
      </c>
      <c r="K93" s="53">
        <f t="shared" si="11"/>
        <v>-2128598500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664</v>
      </c>
      <c r="H94" s="36">
        <f t="shared" si="8"/>
        <v>0</v>
      </c>
      <c r="I94" s="11">
        <f t="shared" si="9"/>
        <v>-2125397600</v>
      </c>
      <c r="J94" s="53">
        <f t="shared" si="10"/>
        <v>0</v>
      </c>
      <c r="K94" s="53">
        <f t="shared" si="11"/>
        <v>-2125397600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662</v>
      </c>
      <c r="H95" s="36">
        <f t="shared" si="8"/>
        <v>0</v>
      </c>
      <c r="I95" s="11">
        <f t="shared" si="9"/>
        <v>-792146552</v>
      </c>
      <c r="J95" s="53">
        <f t="shared" si="10"/>
        <v>0</v>
      </c>
      <c r="K95" s="53">
        <f t="shared" si="11"/>
        <v>-792146552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652</v>
      </c>
      <c r="H96" s="36">
        <f t="shared" si="8"/>
        <v>0</v>
      </c>
      <c r="I96" s="11">
        <f t="shared" si="9"/>
        <v>-130400000</v>
      </c>
      <c r="J96" s="53">
        <f t="shared" si="10"/>
        <v>0</v>
      </c>
      <c r="K96" s="53">
        <f t="shared" si="11"/>
        <v>-130400000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651</v>
      </c>
      <c r="H97" s="36">
        <f t="shared" si="8"/>
        <v>1</v>
      </c>
      <c r="I97" s="11">
        <f t="shared" si="9"/>
        <v>103712700</v>
      </c>
      <c r="J97" s="53">
        <f t="shared" si="10"/>
        <v>44801900</v>
      </c>
      <c r="K97" s="53">
        <f t="shared" si="11"/>
        <v>58910800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646</v>
      </c>
      <c r="H98" s="36">
        <f t="shared" si="8"/>
        <v>1</v>
      </c>
      <c r="I98" s="11">
        <f t="shared" si="9"/>
        <v>73767360</v>
      </c>
      <c r="J98" s="53">
        <f t="shared" si="10"/>
        <v>0</v>
      </c>
      <c r="K98" s="53">
        <f t="shared" si="11"/>
        <v>73767360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643</v>
      </c>
      <c r="H99" s="36">
        <f t="shared" si="8"/>
        <v>0</v>
      </c>
      <c r="I99" s="11">
        <f t="shared" si="9"/>
        <v>-851975000</v>
      </c>
      <c r="J99" s="53">
        <f t="shared" si="10"/>
        <v>0</v>
      </c>
      <c r="K99" s="53">
        <f t="shared" si="11"/>
        <v>-851975000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638</v>
      </c>
      <c r="H100" s="36">
        <f t="shared" si="8"/>
        <v>1</v>
      </c>
      <c r="I100" s="11">
        <f t="shared" si="9"/>
        <v>844025000</v>
      </c>
      <c r="J100" s="53">
        <f t="shared" si="10"/>
        <v>0</v>
      </c>
      <c r="K100" s="53">
        <f t="shared" si="11"/>
        <v>844025000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621</v>
      </c>
      <c r="H101" s="36">
        <f t="shared" si="8"/>
        <v>1</v>
      </c>
      <c r="I101" s="11">
        <f t="shared" si="9"/>
        <v>41443900</v>
      </c>
      <c r="J101" s="53">
        <f t="shared" si="10"/>
        <v>41443900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618</v>
      </c>
      <c r="H102" s="36">
        <f t="shared" si="8"/>
        <v>1</v>
      </c>
      <c r="I102" s="11">
        <f t="shared" si="9"/>
        <v>1851000000</v>
      </c>
      <c r="J102" s="53">
        <f t="shared" si="10"/>
        <v>0</v>
      </c>
      <c r="K102" s="53">
        <f t="shared" si="11"/>
        <v>1851000000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611</v>
      </c>
      <c r="H103" s="36">
        <f t="shared" si="8"/>
        <v>0</v>
      </c>
      <c r="I103" s="11">
        <f t="shared" si="9"/>
        <v>-611000000</v>
      </c>
      <c r="J103" s="53">
        <f t="shared" si="10"/>
        <v>-611000000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601</v>
      </c>
      <c r="H104" s="36">
        <f t="shared" si="8"/>
        <v>1</v>
      </c>
      <c r="I104" s="11">
        <f t="shared" si="9"/>
        <v>1800000000</v>
      </c>
      <c r="J104" s="53">
        <f t="shared" si="10"/>
        <v>1800000000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600</v>
      </c>
      <c r="H105" s="36">
        <f t="shared" si="8"/>
        <v>1</v>
      </c>
      <c r="I105" s="11">
        <f t="shared" si="9"/>
        <v>670880000</v>
      </c>
      <c r="J105" s="53">
        <f t="shared" si="10"/>
        <v>670880000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600</v>
      </c>
      <c r="H106" s="36">
        <f t="shared" si="8"/>
        <v>0</v>
      </c>
      <c r="I106" s="11">
        <f t="shared" si="9"/>
        <v>-1800000000</v>
      </c>
      <c r="J106" s="53">
        <f t="shared" si="10"/>
        <v>0</v>
      </c>
      <c r="K106" s="53">
        <f t="shared" si="11"/>
        <v>-1800000000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591</v>
      </c>
      <c r="H107" s="36">
        <f t="shared" si="8"/>
        <v>1</v>
      </c>
      <c r="I107" s="11">
        <f t="shared" si="9"/>
        <v>53391460</v>
      </c>
      <c r="J107" s="53">
        <f t="shared" si="10"/>
        <v>44317850</v>
      </c>
      <c r="K107" s="53">
        <f t="shared" si="11"/>
        <v>9073610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589</v>
      </c>
      <c r="H108" s="36">
        <f t="shared" si="8"/>
        <v>0</v>
      </c>
      <c r="I108" s="11">
        <f t="shared" si="9"/>
        <v>-1001712300</v>
      </c>
      <c r="J108" s="53">
        <f t="shared" si="10"/>
        <v>0</v>
      </c>
      <c r="K108" s="53">
        <f t="shared" si="11"/>
        <v>-1001712300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585</v>
      </c>
      <c r="H109" s="36">
        <f t="shared" si="8"/>
        <v>0</v>
      </c>
      <c r="I109" s="11">
        <f t="shared" si="9"/>
        <v>-585292500</v>
      </c>
      <c r="J109" s="53">
        <f t="shared" si="10"/>
        <v>0</v>
      </c>
      <c r="K109" s="53">
        <f t="shared" si="11"/>
        <v>-585292500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582</v>
      </c>
      <c r="H110" s="36">
        <f t="shared" si="8"/>
        <v>1</v>
      </c>
      <c r="I110" s="11">
        <f t="shared" si="9"/>
        <v>11620000000</v>
      </c>
      <c r="J110" s="53">
        <f t="shared" si="10"/>
        <v>0</v>
      </c>
      <c r="K110" s="53">
        <f t="shared" si="11"/>
        <v>11620000000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562</v>
      </c>
      <c r="H111" s="36">
        <f t="shared" si="8"/>
        <v>1</v>
      </c>
      <c r="I111" s="11">
        <f t="shared" si="9"/>
        <v>97994358</v>
      </c>
      <c r="J111" s="53">
        <f t="shared" si="10"/>
        <v>49010643</v>
      </c>
      <c r="K111" s="53">
        <f t="shared" si="11"/>
        <v>48983715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546</v>
      </c>
      <c r="H112" s="36">
        <f t="shared" si="8"/>
        <v>0</v>
      </c>
      <c r="I112" s="11">
        <f t="shared" si="9"/>
        <v>-15506400000</v>
      </c>
      <c r="J112" s="53">
        <f t="shared" si="10"/>
        <v>0</v>
      </c>
      <c r="K112" s="53">
        <f t="shared" si="11"/>
        <v>-15506400000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531</v>
      </c>
      <c r="H113" s="36">
        <f t="shared" si="8"/>
        <v>1</v>
      </c>
      <c r="I113" s="11">
        <f t="shared" si="9"/>
        <v>86411200</v>
      </c>
      <c r="J113" s="53">
        <f t="shared" si="10"/>
        <v>64930830</v>
      </c>
      <c r="K113" s="53">
        <f t="shared" si="11"/>
        <v>21480370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531</v>
      </c>
      <c r="H114" s="36">
        <f t="shared" si="8"/>
        <v>0</v>
      </c>
      <c r="I114" s="11">
        <f t="shared" si="9"/>
        <v>-3026700</v>
      </c>
      <c r="J114" s="53">
        <f t="shared" si="10"/>
        <v>-1327500</v>
      </c>
      <c r="K114" s="53">
        <f t="shared" si="11"/>
        <v>-1699200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518</v>
      </c>
      <c r="H115" s="36">
        <f t="shared" si="8"/>
        <v>0</v>
      </c>
      <c r="I115" s="11">
        <f t="shared" si="9"/>
        <v>0</v>
      </c>
      <c r="J115" s="53">
        <f t="shared" si="10"/>
        <v>259000000</v>
      </c>
      <c r="K115" s="53">
        <f t="shared" si="11"/>
        <v>-259000000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510</v>
      </c>
      <c r="H116" s="36">
        <f t="shared" si="8"/>
        <v>0</v>
      </c>
      <c r="I116" s="11">
        <f t="shared" si="9"/>
        <v>-81600000</v>
      </c>
      <c r="J116" s="53">
        <f t="shared" si="10"/>
        <v>0</v>
      </c>
      <c r="K116" s="53">
        <f t="shared" si="11"/>
        <v>-81600000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501</v>
      </c>
      <c r="H117" s="36">
        <f t="shared" si="8"/>
        <v>1</v>
      </c>
      <c r="I117" s="11">
        <f t="shared" si="9"/>
        <v>740000</v>
      </c>
      <c r="J117" s="53">
        <f t="shared" si="10"/>
        <v>53470500</v>
      </c>
      <c r="K117" s="53">
        <f t="shared" si="11"/>
        <v>-52730500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479</v>
      </c>
      <c r="H118" s="36">
        <f t="shared" si="8"/>
        <v>1</v>
      </c>
      <c r="I118" s="11">
        <f t="shared" si="9"/>
        <v>18832961000</v>
      </c>
      <c r="J118" s="53">
        <f t="shared" si="10"/>
        <v>0</v>
      </c>
      <c r="K118" s="53">
        <f t="shared" si="11"/>
        <v>18832961000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470</v>
      </c>
      <c r="H119" s="36">
        <f t="shared" si="8"/>
        <v>1</v>
      </c>
      <c r="I119" s="11">
        <f t="shared" si="9"/>
        <v>44799349</v>
      </c>
      <c r="J119" s="53">
        <f t="shared" si="10"/>
        <v>51615326</v>
      </c>
      <c r="K119" s="53">
        <f t="shared" si="11"/>
        <v>-6815977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466</v>
      </c>
      <c r="H120" s="11">
        <f t="shared" si="8"/>
        <v>1</v>
      </c>
      <c r="I120" s="11">
        <f t="shared" ref="I120:I266" si="13">B120*(G120-H120)</f>
        <v>930000000</v>
      </c>
      <c r="J120" s="11">
        <f t="shared" si="10"/>
        <v>0</v>
      </c>
      <c r="K120" s="11">
        <f t="shared" si="11"/>
        <v>930000000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440</v>
      </c>
      <c r="H121" s="11">
        <f t="shared" si="8"/>
        <v>1</v>
      </c>
      <c r="I121" s="11">
        <f t="shared" si="13"/>
        <v>1141400000</v>
      </c>
      <c r="J121" s="11">
        <f t="shared" si="10"/>
        <v>0</v>
      </c>
      <c r="K121" s="11">
        <f t="shared" si="11"/>
        <v>1141400000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439</v>
      </c>
      <c r="H122" s="11">
        <f t="shared" si="8"/>
        <v>1</v>
      </c>
      <c r="I122" s="11">
        <f t="shared" si="13"/>
        <v>168433338</v>
      </c>
      <c r="J122" s="11">
        <f t="shared" si="10"/>
        <v>48577704</v>
      </c>
      <c r="K122" s="11">
        <f t="shared" si="11"/>
        <v>119855634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438</v>
      </c>
      <c r="H123" s="11">
        <f t="shared" si="8"/>
        <v>0</v>
      </c>
      <c r="I123" s="11">
        <f t="shared" si="13"/>
        <v>0</v>
      </c>
      <c r="J123" s="11">
        <f t="shared" si="10"/>
        <v>350400000</v>
      </c>
      <c r="K123" s="11">
        <f t="shared" si="11"/>
        <v>-350400000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424</v>
      </c>
      <c r="H124" s="11">
        <f t="shared" si="8"/>
        <v>0</v>
      </c>
      <c r="I124" s="11">
        <f t="shared" si="13"/>
        <v>-1272000000</v>
      </c>
      <c r="J124" s="11">
        <f t="shared" si="10"/>
        <v>0</v>
      </c>
      <c r="K124" s="11">
        <f t="shared" si="11"/>
        <v>-1272000000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409</v>
      </c>
      <c r="H125" s="11">
        <f t="shared" si="8"/>
        <v>1</v>
      </c>
      <c r="I125" s="11">
        <f t="shared" si="13"/>
        <v>163489680</v>
      </c>
      <c r="J125" s="11">
        <f t="shared" si="10"/>
        <v>48501000</v>
      </c>
      <c r="K125" s="11">
        <f t="shared" si="11"/>
        <v>114988680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409</v>
      </c>
      <c r="H126" s="11">
        <f t="shared" si="8"/>
        <v>1</v>
      </c>
      <c r="I126" s="11">
        <f t="shared" si="13"/>
        <v>17136000000</v>
      </c>
      <c r="J126" s="11">
        <f t="shared" si="10"/>
        <v>0</v>
      </c>
      <c r="K126" s="11">
        <f t="shared" si="11"/>
        <v>17136000000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384</v>
      </c>
      <c r="H127" s="11">
        <f t="shared" si="8"/>
        <v>0</v>
      </c>
      <c r="I127" s="11">
        <f t="shared" si="13"/>
        <v>-1920000</v>
      </c>
      <c r="J127" s="11">
        <f t="shared" si="10"/>
        <v>0</v>
      </c>
      <c r="K127" s="11">
        <f t="shared" si="11"/>
        <v>-1920000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378</v>
      </c>
      <c r="H128" s="11">
        <f t="shared" si="8"/>
        <v>1</v>
      </c>
      <c r="I128" s="11">
        <f t="shared" si="13"/>
        <v>290807998</v>
      </c>
      <c r="J128" s="11">
        <f t="shared" si="10"/>
        <v>45502769</v>
      </c>
      <c r="K128" s="11">
        <f t="shared" si="11"/>
        <v>245305229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375</v>
      </c>
      <c r="H129" s="11">
        <f t="shared" si="8"/>
        <v>1</v>
      </c>
      <c r="I129" s="11">
        <f t="shared" si="13"/>
        <v>935000000</v>
      </c>
      <c r="J129" s="11">
        <f t="shared" si="10"/>
        <v>0</v>
      </c>
      <c r="K129" s="11">
        <f t="shared" si="11"/>
        <v>935000000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361</v>
      </c>
      <c r="H130" s="11">
        <f t="shared" si="8"/>
        <v>0</v>
      </c>
      <c r="I130" s="11">
        <f t="shared" si="13"/>
        <v>-361000000</v>
      </c>
      <c r="J130" s="11">
        <f t="shared" si="10"/>
        <v>-361000000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356</v>
      </c>
      <c r="H131" s="11">
        <f t="shared" si="8"/>
        <v>0</v>
      </c>
      <c r="I131" s="11">
        <f t="shared" si="13"/>
        <v>-17800000000</v>
      </c>
      <c r="J131" s="11">
        <f t="shared" si="10"/>
        <v>0</v>
      </c>
      <c r="K131" s="11">
        <f t="shared" si="11"/>
        <v>-17800000000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348</v>
      </c>
      <c r="H132" s="11">
        <f t="shared" ref="H132:H266" si="15">IF(B132&gt;0,1,0)</f>
        <v>1</v>
      </c>
      <c r="I132" s="11">
        <f t="shared" si="13"/>
        <v>213157589</v>
      </c>
      <c r="J132" s="11">
        <f t="shared" ref="J132:J206" si="16">C132*(G132-H132)</f>
        <v>36771937</v>
      </c>
      <c r="K132" s="11">
        <f t="shared" ref="K132:K266" si="17">D132*(G132-H132)</f>
        <v>176385652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344</v>
      </c>
      <c r="H133" s="11">
        <f t="shared" si="15"/>
        <v>0</v>
      </c>
      <c r="I133" s="11">
        <f t="shared" si="13"/>
        <v>-416480800</v>
      </c>
      <c r="J133" s="11">
        <f t="shared" si="16"/>
        <v>0</v>
      </c>
      <c r="K133" s="11">
        <f t="shared" si="17"/>
        <v>-416480800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335</v>
      </c>
      <c r="H134" s="11">
        <f t="shared" si="15"/>
        <v>0</v>
      </c>
      <c r="I134" s="11">
        <f t="shared" si="13"/>
        <v>-21775000</v>
      </c>
      <c r="J134" s="11">
        <f t="shared" si="16"/>
        <v>0</v>
      </c>
      <c r="K134" s="11">
        <f t="shared" si="17"/>
        <v>-21775000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335</v>
      </c>
      <c r="H135" s="11">
        <f t="shared" si="15"/>
        <v>0</v>
      </c>
      <c r="I135" s="11">
        <f t="shared" si="13"/>
        <v>-10820500</v>
      </c>
      <c r="J135" s="11">
        <f t="shared" si="16"/>
        <v>0</v>
      </c>
      <c r="K135" s="11">
        <f t="shared" si="17"/>
        <v>-10820500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327</v>
      </c>
      <c r="H136" s="11">
        <f t="shared" si="15"/>
        <v>0</v>
      </c>
      <c r="I136" s="11">
        <f t="shared" si="13"/>
        <v>-327000000</v>
      </c>
      <c r="J136" s="11">
        <f t="shared" si="16"/>
        <v>-327000000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318</v>
      </c>
      <c r="H137" s="11">
        <f t="shared" si="15"/>
        <v>1</v>
      </c>
      <c r="I137" s="11">
        <f t="shared" si="13"/>
        <v>92206741</v>
      </c>
      <c r="J137" s="11">
        <f t="shared" si="16"/>
        <v>30862803</v>
      </c>
      <c r="K137" s="11">
        <f t="shared" si="17"/>
        <v>61343938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301</v>
      </c>
      <c r="H138" s="11">
        <f t="shared" si="15"/>
        <v>0</v>
      </c>
      <c r="I138" s="11">
        <f t="shared" si="13"/>
        <v>-301150500</v>
      </c>
      <c r="J138" s="11">
        <f t="shared" si="16"/>
        <v>-301150500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289</v>
      </c>
      <c r="H139" s="11">
        <f t="shared" si="15"/>
        <v>1</v>
      </c>
      <c r="I139" s="11">
        <f t="shared" si="13"/>
        <v>81285120</v>
      </c>
      <c r="J139" s="11">
        <f t="shared" si="16"/>
        <v>25576416</v>
      </c>
      <c r="K139" s="11">
        <f t="shared" si="17"/>
        <v>55708704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286</v>
      </c>
      <c r="H140" s="11">
        <f t="shared" si="15"/>
        <v>1</v>
      </c>
      <c r="I140" s="11">
        <f t="shared" si="13"/>
        <v>427500000</v>
      </c>
      <c r="J140" s="11">
        <f t="shared" si="16"/>
        <v>0</v>
      </c>
      <c r="K140" s="11">
        <f t="shared" si="17"/>
        <v>427500000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273</v>
      </c>
      <c r="H141" s="11">
        <f t="shared" si="15"/>
        <v>0</v>
      </c>
      <c r="I141" s="11">
        <f t="shared" si="13"/>
        <v>0</v>
      </c>
      <c r="J141" s="11">
        <f t="shared" si="16"/>
        <v>-273000000</v>
      </c>
      <c r="K141" s="11">
        <f t="shared" si="17"/>
        <v>273000000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259</v>
      </c>
      <c r="H142" s="11">
        <f t="shared" si="15"/>
        <v>1</v>
      </c>
      <c r="I142" s="11">
        <f t="shared" si="13"/>
        <v>75050394</v>
      </c>
      <c r="J142" s="11">
        <f t="shared" si="16"/>
        <v>20903676</v>
      </c>
      <c r="K142" s="11">
        <f t="shared" si="17"/>
        <v>54146718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239</v>
      </c>
      <c r="H143" s="11">
        <f t="shared" si="15"/>
        <v>0</v>
      </c>
      <c r="I143" s="11">
        <f t="shared" si="13"/>
        <v>0</v>
      </c>
      <c r="J143" s="11">
        <f t="shared" si="16"/>
        <v>-239000000</v>
      </c>
      <c r="K143" s="11">
        <f t="shared" si="17"/>
        <v>239000000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229</v>
      </c>
      <c r="H144" s="11">
        <f t="shared" si="15"/>
        <v>1</v>
      </c>
      <c r="I144" s="11">
        <f t="shared" si="13"/>
        <v>67226256</v>
      </c>
      <c r="J144" s="11">
        <f t="shared" si="16"/>
        <v>17021796</v>
      </c>
      <c r="K144" s="11">
        <f t="shared" si="17"/>
        <v>50204460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214</v>
      </c>
      <c r="H145" s="11">
        <f t="shared" si="15"/>
        <v>0</v>
      </c>
      <c r="I145" s="11">
        <f t="shared" si="13"/>
        <v>-2140000</v>
      </c>
      <c r="J145" s="11">
        <f t="shared" si="16"/>
        <v>-1070000</v>
      </c>
      <c r="K145" s="11">
        <f t="shared" si="17"/>
        <v>-1070000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209</v>
      </c>
      <c r="H146" s="11">
        <f t="shared" si="15"/>
        <v>0</v>
      </c>
      <c r="I146" s="11">
        <f t="shared" si="13"/>
        <v>-209104500</v>
      </c>
      <c r="J146" s="11">
        <f t="shared" si="16"/>
        <v>-209104500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203</v>
      </c>
      <c r="H147" s="11">
        <f t="shared" si="15"/>
        <v>0</v>
      </c>
      <c r="I147" s="11">
        <f t="shared" si="13"/>
        <v>-5481000000</v>
      </c>
      <c r="J147" s="11">
        <f t="shared" si="16"/>
        <v>0</v>
      </c>
      <c r="K147" s="11">
        <f t="shared" si="17"/>
        <v>-5481000000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200</v>
      </c>
      <c r="H148" s="11">
        <f t="shared" si="15"/>
        <v>1</v>
      </c>
      <c r="I148" s="11">
        <f t="shared" si="13"/>
        <v>50234764</v>
      </c>
      <c r="J148" s="11">
        <f t="shared" si="16"/>
        <v>13036490</v>
      </c>
      <c r="K148" s="11">
        <f t="shared" si="17"/>
        <v>37198274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192</v>
      </c>
      <c r="H149" s="11">
        <f t="shared" si="15"/>
        <v>1</v>
      </c>
      <c r="I149" s="11">
        <f t="shared" si="13"/>
        <v>10008400000</v>
      </c>
      <c r="J149" s="11">
        <f t="shared" si="16"/>
        <v>0</v>
      </c>
      <c r="K149" s="11">
        <f t="shared" si="17"/>
        <v>10008400000</v>
      </c>
    </row>
    <row r="150" spans="1:11" x14ac:dyDescent="0.25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185</v>
      </c>
      <c r="H150" s="11">
        <f t="shared" si="15"/>
        <v>0</v>
      </c>
      <c r="I150" s="11">
        <f t="shared" si="13"/>
        <v>-9620000000</v>
      </c>
      <c r="J150" s="11">
        <f t="shared" si="16"/>
        <v>0</v>
      </c>
      <c r="K150" s="11">
        <f t="shared" si="17"/>
        <v>-9620000000</v>
      </c>
    </row>
    <row r="151" spans="1:11" x14ac:dyDescent="0.25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180</v>
      </c>
      <c r="H151" s="103">
        <f t="shared" si="15"/>
        <v>0</v>
      </c>
      <c r="I151" s="103">
        <f t="shared" si="13"/>
        <v>-1440000000</v>
      </c>
      <c r="J151" s="103">
        <f t="shared" si="16"/>
        <v>-1218983580</v>
      </c>
      <c r="K151" s="11">
        <f t="shared" si="17"/>
        <v>-221016420</v>
      </c>
    </row>
    <row r="152" spans="1:11" x14ac:dyDescent="0.25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180</v>
      </c>
      <c r="H152" s="103">
        <f t="shared" si="15"/>
        <v>0</v>
      </c>
      <c r="I152" s="103">
        <f t="shared" si="13"/>
        <v>-5621400</v>
      </c>
      <c r="J152" s="103">
        <f t="shared" si="16"/>
        <v>0</v>
      </c>
      <c r="K152" s="103">
        <f t="shared" si="17"/>
        <v>-5621400</v>
      </c>
    </row>
    <row r="153" spans="1:11" x14ac:dyDescent="0.25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169</v>
      </c>
      <c r="H153" s="103">
        <f t="shared" si="15"/>
        <v>1</v>
      </c>
      <c r="I153" s="103">
        <f t="shared" si="13"/>
        <v>22694616</v>
      </c>
      <c r="J153" s="103">
        <f t="shared" si="16"/>
        <v>6909840</v>
      </c>
      <c r="K153" s="103">
        <f t="shared" si="17"/>
        <v>15784776</v>
      </c>
    </row>
    <row r="154" spans="1:11" x14ac:dyDescent="0.25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166</v>
      </c>
      <c r="H154" s="103">
        <f t="shared" si="15"/>
        <v>1</v>
      </c>
      <c r="I154" s="103">
        <f t="shared" si="13"/>
        <v>1125973530</v>
      </c>
      <c r="J154" s="103">
        <f t="shared" si="16"/>
        <v>1125973530</v>
      </c>
      <c r="K154" s="103">
        <f t="shared" si="17"/>
        <v>0</v>
      </c>
    </row>
    <row r="155" spans="1:11" x14ac:dyDescent="0.25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161</v>
      </c>
      <c r="H155" s="103">
        <f t="shared" si="15"/>
        <v>0</v>
      </c>
      <c r="I155" s="103">
        <f t="shared" si="13"/>
        <v>-32200000</v>
      </c>
      <c r="J155" s="103">
        <f t="shared" si="16"/>
        <v>0</v>
      </c>
      <c r="K155" s="103">
        <f t="shared" si="17"/>
        <v>-32200000</v>
      </c>
    </row>
    <row r="156" spans="1:11" x14ac:dyDescent="0.25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161</v>
      </c>
      <c r="H156" s="103">
        <f t="shared" si="15"/>
        <v>0</v>
      </c>
      <c r="I156" s="103">
        <f t="shared" si="13"/>
        <v>-39902240</v>
      </c>
      <c r="J156" s="103">
        <f t="shared" si="16"/>
        <v>0</v>
      </c>
      <c r="K156" s="103">
        <f t="shared" si="17"/>
        <v>-39902240</v>
      </c>
    </row>
    <row r="157" spans="1:11" x14ac:dyDescent="0.25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160</v>
      </c>
      <c r="H157" s="103">
        <f t="shared" si="15"/>
        <v>0</v>
      </c>
      <c r="I157" s="103">
        <f t="shared" si="13"/>
        <v>-25974400</v>
      </c>
      <c r="J157" s="103">
        <f t="shared" si="16"/>
        <v>0</v>
      </c>
      <c r="K157" s="103">
        <f t="shared" si="17"/>
        <v>-25974400</v>
      </c>
    </row>
    <row r="158" spans="1:11" x14ac:dyDescent="0.25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160</v>
      </c>
      <c r="H158" s="103">
        <f t="shared" si="15"/>
        <v>0</v>
      </c>
      <c r="I158" s="103">
        <f t="shared" si="13"/>
        <v>-480144000</v>
      </c>
      <c r="J158" s="103">
        <f t="shared" si="16"/>
        <v>0</v>
      </c>
      <c r="K158" s="103">
        <f t="shared" si="17"/>
        <v>-480144000</v>
      </c>
    </row>
    <row r="159" spans="1:11" x14ac:dyDescent="0.25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158</v>
      </c>
      <c r="H159" s="103">
        <f t="shared" si="15"/>
        <v>0</v>
      </c>
      <c r="I159" s="103">
        <f t="shared" si="13"/>
        <v>-158079000</v>
      </c>
      <c r="J159" s="103">
        <f t="shared" si="16"/>
        <v>0</v>
      </c>
      <c r="K159" s="103">
        <f t="shared" si="17"/>
        <v>-158079000</v>
      </c>
    </row>
    <row r="160" spans="1:11" x14ac:dyDescent="0.25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154</v>
      </c>
      <c r="H160" s="103">
        <f t="shared" si="15"/>
        <v>0</v>
      </c>
      <c r="I160" s="103">
        <f t="shared" si="13"/>
        <v>-15400000</v>
      </c>
      <c r="J160" s="103">
        <f t="shared" si="16"/>
        <v>0</v>
      </c>
      <c r="K160" s="103">
        <f t="shared" si="17"/>
        <v>-15400000</v>
      </c>
    </row>
    <row r="161" spans="1:13" x14ac:dyDescent="0.25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153</v>
      </c>
      <c r="H161" s="103">
        <f t="shared" si="15"/>
        <v>0</v>
      </c>
      <c r="I161" s="103">
        <f t="shared" si="13"/>
        <v>-306000000</v>
      </c>
      <c r="J161" s="103">
        <f t="shared" si="16"/>
        <v>0</v>
      </c>
      <c r="K161" s="103">
        <f t="shared" si="17"/>
        <v>-306000000</v>
      </c>
    </row>
    <row r="162" spans="1:13" x14ac:dyDescent="0.25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153</v>
      </c>
      <c r="H162" s="103">
        <f t="shared" si="15"/>
        <v>0</v>
      </c>
      <c r="I162" s="103">
        <f t="shared" si="13"/>
        <v>-153076500</v>
      </c>
      <c r="J162" s="103">
        <f t="shared" si="16"/>
        <v>0</v>
      </c>
      <c r="K162" s="103">
        <f t="shared" si="17"/>
        <v>-153076500</v>
      </c>
    </row>
    <row r="163" spans="1:13" x14ac:dyDescent="0.25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150</v>
      </c>
      <c r="H163" s="103">
        <f t="shared" si="15"/>
        <v>0</v>
      </c>
      <c r="I163" s="103">
        <f t="shared" si="13"/>
        <v>-750000</v>
      </c>
      <c r="J163" s="103">
        <f t="shared" si="16"/>
        <v>0</v>
      </c>
      <c r="K163" s="103">
        <f t="shared" si="17"/>
        <v>-750000</v>
      </c>
    </row>
    <row r="164" spans="1:13" x14ac:dyDescent="0.25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140</v>
      </c>
      <c r="H164" s="103">
        <f t="shared" si="15"/>
        <v>1</v>
      </c>
      <c r="I164" s="103">
        <f t="shared" si="13"/>
        <v>417000000</v>
      </c>
      <c r="J164" s="103">
        <f t="shared" si="16"/>
        <v>0</v>
      </c>
      <c r="K164" s="103">
        <f t="shared" si="17"/>
        <v>417000000</v>
      </c>
    </row>
    <row r="165" spans="1:13" x14ac:dyDescent="0.25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139</v>
      </c>
      <c r="H165" s="103">
        <f t="shared" si="15"/>
        <v>1</v>
      </c>
      <c r="I165" s="103">
        <f t="shared" si="13"/>
        <v>414000000</v>
      </c>
      <c r="J165" s="103">
        <f t="shared" si="16"/>
        <v>0</v>
      </c>
      <c r="K165" s="103">
        <f t="shared" si="17"/>
        <v>414000000</v>
      </c>
    </row>
    <row r="166" spans="1:13" x14ac:dyDescent="0.25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138</v>
      </c>
      <c r="H166" s="103">
        <f t="shared" si="15"/>
        <v>1</v>
      </c>
      <c r="I166" s="103">
        <f t="shared" si="13"/>
        <v>2783018</v>
      </c>
      <c r="J166" s="103">
        <f t="shared" si="16"/>
        <v>8198354</v>
      </c>
      <c r="K166" s="103">
        <f t="shared" si="17"/>
        <v>-5415336</v>
      </c>
    </row>
    <row r="167" spans="1:13" x14ac:dyDescent="0.25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133</v>
      </c>
      <c r="H167" s="103">
        <f t="shared" si="15"/>
        <v>0</v>
      </c>
      <c r="I167" s="103">
        <f t="shared" si="13"/>
        <v>-399119700</v>
      </c>
      <c r="J167" s="103">
        <f t="shared" si="16"/>
        <v>0</v>
      </c>
      <c r="K167" s="103">
        <f t="shared" si="17"/>
        <v>-399119700</v>
      </c>
    </row>
    <row r="168" spans="1:13" x14ac:dyDescent="0.25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115</v>
      </c>
      <c r="H168" s="103">
        <f t="shared" si="15"/>
        <v>0</v>
      </c>
      <c r="I168" s="103">
        <f t="shared" si="13"/>
        <v>-345103500</v>
      </c>
      <c r="J168" s="103">
        <f t="shared" si="16"/>
        <v>0</v>
      </c>
      <c r="K168" s="103">
        <f t="shared" si="17"/>
        <v>-345103500</v>
      </c>
      <c r="M168" t="s">
        <v>25</v>
      </c>
    </row>
    <row r="169" spans="1:13" x14ac:dyDescent="0.25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107</v>
      </c>
      <c r="H169" s="103">
        <f t="shared" si="15"/>
        <v>1</v>
      </c>
      <c r="I169" s="103">
        <f t="shared" si="13"/>
        <v>2300730</v>
      </c>
      <c r="J169" s="103">
        <f t="shared" si="16"/>
        <v>7262590</v>
      </c>
      <c r="K169" s="103">
        <f t="shared" si="17"/>
        <v>-4961860</v>
      </c>
    </row>
    <row r="170" spans="1:13" x14ac:dyDescent="0.25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83</v>
      </c>
      <c r="H170" s="103">
        <f t="shared" si="15"/>
        <v>1</v>
      </c>
      <c r="I170" s="103">
        <f t="shared" si="13"/>
        <v>410000000</v>
      </c>
      <c r="J170" s="103">
        <f t="shared" si="16"/>
        <v>0</v>
      </c>
      <c r="K170" s="103">
        <f t="shared" si="17"/>
        <v>410000000</v>
      </c>
    </row>
    <row r="171" spans="1:13" x14ac:dyDescent="0.25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82</v>
      </c>
      <c r="H171" s="103">
        <f t="shared" si="15"/>
        <v>0</v>
      </c>
      <c r="I171" s="103">
        <f t="shared" si="13"/>
        <v>-410000000</v>
      </c>
      <c r="J171" s="103">
        <f t="shared" si="16"/>
        <v>0</v>
      </c>
      <c r="K171" s="103">
        <f t="shared" si="17"/>
        <v>-410000000</v>
      </c>
    </row>
    <row r="172" spans="1:13" x14ac:dyDescent="0.25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76</v>
      </c>
      <c r="H172" s="103">
        <f t="shared" si="15"/>
        <v>1</v>
      </c>
      <c r="I172" s="103">
        <f t="shared" si="13"/>
        <v>37200</v>
      </c>
      <c r="J172" s="103">
        <f t="shared" si="16"/>
        <v>4701075</v>
      </c>
      <c r="K172" s="103">
        <f t="shared" si="17"/>
        <v>-4663875</v>
      </c>
    </row>
    <row r="173" spans="1:13" x14ac:dyDescent="0.25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75</v>
      </c>
      <c r="H173" s="103">
        <f t="shared" si="15"/>
        <v>1</v>
      </c>
      <c r="I173" s="103">
        <f t="shared" si="13"/>
        <v>58090000</v>
      </c>
      <c r="J173" s="103">
        <f t="shared" si="16"/>
        <v>0</v>
      </c>
      <c r="K173" s="103">
        <f t="shared" si="17"/>
        <v>58090000</v>
      </c>
    </row>
    <row r="174" spans="1:13" x14ac:dyDescent="0.25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64</v>
      </c>
      <c r="H174" s="103">
        <f t="shared" si="15"/>
        <v>0</v>
      </c>
      <c r="I174" s="103">
        <f t="shared" si="13"/>
        <v>-2048000</v>
      </c>
      <c r="J174" s="103">
        <f t="shared" si="16"/>
        <v>0</v>
      </c>
      <c r="K174" s="103">
        <f t="shared" si="17"/>
        <v>-2048000</v>
      </c>
    </row>
    <row r="175" spans="1:13" x14ac:dyDescent="0.25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62</v>
      </c>
      <c r="H175" s="103">
        <f t="shared" si="15"/>
        <v>0</v>
      </c>
      <c r="I175" s="103">
        <f t="shared" si="13"/>
        <v>-46500000</v>
      </c>
      <c r="J175" s="103">
        <f t="shared" si="16"/>
        <v>0</v>
      </c>
      <c r="K175" s="103">
        <f t="shared" si="17"/>
        <v>-46500000</v>
      </c>
    </row>
    <row r="176" spans="1:13" x14ac:dyDescent="0.25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53</v>
      </c>
      <c r="H176" s="103">
        <f t="shared" si="15"/>
        <v>0</v>
      </c>
      <c r="I176" s="103">
        <f t="shared" si="13"/>
        <v>-497988</v>
      </c>
      <c r="J176" s="103">
        <f t="shared" si="16"/>
        <v>0</v>
      </c>
      <c r="K176" s="103">
        <f t="shared" si="17"/>
        <v>-497988</v>
      </c>
    </row>
    <row r="177" spans="1:14" x14ac:dyDescent="0.25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52</v>
      </c>
      <c r="H177" s="103">
        <f t="shared" si="15"/>
        <v>0</v>
      </c>
      <c r="I177" s="103">
        <f t="shared" si="13"/>
        <v>-2251600</v>
      </c>
      <c r="J177" s="103">
        <f t="shared" si="16"/>
        <v>0</v>
      </c>
      <c r="K177" s="103">
        <f t="shared" si="17"/>
        <v>-2251600</v>
      </c>
    </row>
    <row r="178" spans="1:14" x14ac:dyDescent="0.25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49</v>
      </c>
      <c r="H178" s="103">
        <f t="shared" si="15"/>
        <v>1</v>
      </c>
      <c r="I178" s="103">
        <f t="shared" si="13"/>
        <v>17280000</v>
      </c>
      <c r="J178" s="103">
        <f t="shared" si="16"/>
        <v>0</v>
      </c>
      <c r="K178" s="103">
        <f t="shared" si="17"/>
        <v>17280000</v>
      </c>
    </row>
    <row r="179" spans="1:14" x14ac:dyDescent="0.25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47</v>
      </c>
      <c r="H179" s="103">
        <f t="shared" si="15"/>
        <v>1</v>
      </c>
      <c r="I179" s="103">
        <f t="shared" si="13"/>
        <v>138000000</v>
      </c>
      <c r="J179" s="103">
        <f t="shared" si="16"/>
        <v>0</v>
      </c>
      <c r="K179" s="103">
        <f t="shared" si="17"/>
        <v>138000000</v>
      </c>
    </row>
    <row r="180" spans="1:14" x14ac:dyDescent="0.25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47</v>
      </c>
      <c r="H180" s="103">
        <f t="shared" si="15"/>
        <v>0</v>
      </c>
      <c r="I180" s="103">
        <f t="shared" si="13"/>
        <v>-566350</v>
      </c>
      <c r="J180" s="103">
        <f t="shared" si="16"/>
        <v>0</v>
      </c>
      <c r="K180" s="103">
        <f t="shared" si="17"/>
        <v>-566350</v>
      </c>
    </row>
    <row r="181" spans="1:14" x14ac:dyDescent="0.25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45</v>
      </c>
      <c r="H181" s="103">
        <f t="shared" si="15"/>
        <v>1</v>
      </c>
      <c r="I181" s="103">
        <f t="shared" si="13"/>
        <v>132000000</v>
      </c>
      <c r="J181" s="103">
        <f t="shared" si="16"/>
        <v>0</v>
      </c>
      <c r="K181" s="103">
        <f t="shared" si="17"/>
        <v>132000000</v>
      </c>
    </row>
    <row r="182" spans="1:14" x14ac:dyDescent="0.25">
      <c r="A182" s="103" t="s">
        <v>4087</v>
      </c>
      <c r="B182" s="18">
        <v>-35800</v>
      </c>
      <c r="C182" s="18">
        <v>0</v>
      </c>
      <c r="D182" s="18">
        <f t="shared" si="18"/>
        <v>-35800</v>
      </c>
      <c r="E182" s="103" t="s">
        <v>4088</v>
      </c>
      <c r="F182" s="103">
        <v>1</v>
      </c>
      <c r="G182" s="36">
        <f t="shared" si="14"/>
        <v>43</v>
      </c>
      <c r="H182" s="103">
        <f t="shared" si="15"/>
        <v>0</v>
      </c>
      <c r="I182" s="103">
        <f t="shared" si="13"/>
        <v>-1539400</v>
      </c>
      <c r="J182" s="103">
        <f t="shared" si="16"/>
        <v>0</v>
      </c>
      <c r="K182" s="103">
        <f t="shared" si="17"/>
        <v>-1539400</v>
      </c>
      <c r="N182" t="s">
        <v>25</v>
      </c>
    </row>
    <row r="183" spans="1:14" x14ac:dyDescent="0.25">
      <c r="A183" s="103" t="s">
        <v>4086</v>
      </c>
      <c r="B183" s="18">
        <v>3600000</v>
      </c>
      <c r="C183" s="18">
        <v>0</v>
      </c>
      <c r="D183" s="18">
        <f t="shared" si="18"/>
        <v>3600000</v>
      </c>
      <c r="E183" s="103" t="s">
        <v>4089</v>
      </c>
      <c r="F183" s="103">
        <v>0</v>
      </c>
      <c r="G183" s="36">
        <f t="shared" si="14"/>
        <v>42</v>
      </c>
      <c r="H183" s="103">
        <f t="shared" si="15"/>
        <v>1</v>
      </c>
      <c r="I183" s="103">
        <f t="shared" si="13"/>
        <v>147600000</v>
      </c>
      <c r="J183" s="103">
        <f t="shared" si="16"/>
        <v>0</v>
      </c>
      <c r="K183" s="103">
        <f t="shared" si="17"/>
        <v>147600000</v>
      </c>
    </row>
    <row r="184" spans="1:14" x14ac:dyDescent="0.25">
      <c r="A184" s="103" t="s">
        <v>4086</v>
      </c>
      <c r="B184" s="18">
        <v>-33377</v>
      </c>
      <c r="C184" s="18">
        <v>0</v>
      </c>
      <c r="D184" s="18">
        <f t="shared" si="18"/>
        <v>-33377</v>
      </c>
      <c r="E184" s="103" t="s">
        <v>4090</v>
      </c>
      <c r="F184" s="103">
        <v>3</v>
      </c>
      <c r="G184" s="36">
        <f t="shared" si="14"/>
        <v>42</v>
      </c>
      <c r="H184" s="103">
        <f t="shared" si="15"/>
        <v>0</v>
      </c>
      <c r="I184" s="103">
        <f t="shared" si="13"/>
        <v>-1401834</v>
      </c>
      <c r="J184" s="103">
        <f t="shared" si="16"/>
        <v>0</v>
      </c>
      <c r="K184" s="103">
        <f t="shared" si="17"/>
        <v>-1401834</v>
      </c>
    </row>
    <row r="185" spans="1:14" x14ac:dyDescent="0.25">
      <c r="A185" s="103" t="s">
        <v>4112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39</v>
      </c>
      <c r="H185" s="103">
        <f t="shared" si="15"/>
        <v>0</v>
      </c>
      <c r="I185" s="103">
        <f t="shared" si="13"/>
        <v>-382200000</v>
      </c>
      <c r="J185" s="103">
        <f t="shared" si="16"/>
        <v>0</v>
      </c>
      <c r="K185" s="103">
        <f t="shared" si="17"/>
        <v>-382200000</v>
      </c>
    </row>
    <row r="186" spans="1:14" x14ac:dyDescent="0.25">
      <c r="A186" s="103" t="s">
        <v>4112</v>
      </c>
      <c r="B186" s="18">
        <v>18000000</v>
      </c>
      <c r="C186" s="18">
        <v>0</v>
      </c>
      <c r="D186" s="18">
        <f t="shared" si="18"/>
        <v>18000000</v>
      </c>
      <c r="E186" s="103" t="s">
        <v>4114</v>
      </c>
      <c r="F186" s="103">
        <v>0</v>
      </c>
      <c r="G186" s="36">
        <f t="shared" si="14"/>
        <v>39</v>
      </c>
      <c r="H186" s="103">
        <f t="shared" si="15"/>
        <v>1</v>
      </c>
      <c r="I186" s="103">
        <f t="shared" si="13"/>
        <v>684000000</v>
      </c>
      <c r="J186" s="103">
        <f t="shared" si="16"/>
        <v>0</v>
      </c>
      <c r="K186" s="103">
        <f t="shared" si="17"/>
        <v>684000000</v>
      </c>
    </row>
    <row r="187" spans="1:14" x14ac:dyDescent="0.25">
      <c r="A187" s="103" t="s">
        <v>4112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39</v>
      </c>
      <c r="H187" s="103">
        <f t="shared" si="15"/>
        <v>0</v>
      </c>
      <c r="I187" s="103">
        <f t="shared" si="13"/>
        <v>-351000000</v>
      </c>
      <c r="J187" s="103">
        <f t="shared" si="16"/>
        <v>0</v>
      </c>
      <c r="K187" s="103">
        <f t="shared" si="17"/>
        <v>-351000000</v>
      </c>
    </row>
    <row r="188" spans="1:14" x14ac:dyDescent="0.25">
      <c r="A188" s="103" t="s">
        <v>4112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39</v>
      </c>
      <c r="H188" s="103">
        <f t="shared" si="15"/>
        <v>0</v>
      </c>
      <c r="I188" s="103">
        <f t="shared" si="13"/>
        <v>-452400</v>
      </c>
      <c r="J188" s="103">
        <f t="shared" si="16"/>
        <v>0</v>
      </c>
      <c r="K188" s="103">
        <f t="shared" si="17"/>
        <v>-452400</v>
      </c>
    </row>
    <row r="189" spans="1:14" x14ac:dyDescent="0.25">
      <c r="A189" s="103" t="s">
        <v>4112</v>
      </c>
      <c r="B189" s="18">
        <v>-3304327</v>
      </c>
      <c r="C189" s="18">
        <v>0</v>
      </c>
      <c r="D189" s="18">
        <f t="shared" si="18"/>
        <v>-3304327</v>
      </c>
      <c r="E189" s="103" t="s">
        <v>4115</v>
      </c>
      <c r="F189" s="103">
        <v>1</v>
      </c>
      <c r="G189" s="36">
        <f t="shared" si="14"/>
        <v>39</v>
      </c>
      <c r="H189" s="103">
        <f t="shared" si="15"/>
        <v>0</v>
      </c>
      <c r="I189" s="103">
        <f t="shared" si="13"/>
        <v>-128868753</v>
      </c>
      <c r="J189" s="103">
        <f t="shared" si="16"/>
        <v>0</v>
      </c>
      <c r="K189" s="103">
        <f t="shared" si="17"/>
        <v>-128868753</v>
      </c>
    </row>
    <row r="190" spans="1:14" x14ac:dyDescent="0.25">
      <c r="A190" s="103" t="s">
        <v>4121</v>
      </c>
      <c r="B190" s="18">
        <v>-3000900</v>
      </c>
      <c r="C190" s="18">
        <v>0</v>
      </c>
      <c r="D190" s="18">
        <f t="shared" si="18"/>
        <v>-3000900</v>
      </c>
      <c r="E190" s="103" t="s">
        <v>4122</v>
      </c>
      <c r="F190" s="103">
        <v>1</v>
      </c>
      <c r="G190" s="36">
        <f t="shared" si="14"/>
        <v>38</v>
      </c>
      <c r="H190" s="103">
        <f t="shared" si="15"/>
        <v>0</v>
      </c>
      <c r="I190" s="103">
        <f t="shared" si="13"/>
        <v>-114034200</v>
      </c>
      <c r="J190" s="103">
        <f t="shared" si="16"/>
        <v>0</v>
      </c>
      <c r="K190" s="103">
        <f t="shared" si="17"/>
        <v>-114034200</v>
      </c>
    </row>
    <row r="191" spans="1:14" x14ac:dyDescent="0.25">
      <c r="A191" s="103" t="s">
        <v>4126</v>
      </c>
      <c r="B191" s="18">
        <v>-2760900</v>
      </c>
      <c r="C191" s="18">
        <v>0</v>
      </c>
      <c r="D191" s="18">
        <f t="shared" si="18"/>
        <v>-2760900</v>
      </c>
      <c r="E191" s="103" t="s">
        <v>4127</v>
      </c>
      <c r="F191" s="103">
        <v>5</v>
      </c>
      <c r="G191" s="36">
        <f t="shared" si="14"/>
        <v>37</v>
      </c>
      <c r="H191" s="103">
        <f t="shared" si="15"/>
        <v>0</v>
      </c>
      <c r="I191" s="103">
        <f t="shared" si="13"/>
        <v>-102153300</v>
      </c>
      <c r="J191" s="103">
        <f t="shared" si="16"/>
        <v>0</v>
      </c>
      <c r="K191" s="103">
        <f t="shared" si="17"/>
        <v>-102153300</v>
      </c>
    </row>
    <row r="192" spans="1:14" x14ac:dyDescent="0.25">
      <c r="A192" s="103" t="s">
        <v>4140</v>
      </c>
      <c r="B192" s="18">
        <v>1000000</v>
      </c>
      <c r="C192" s="18">
        <v>0</v>
      </c>
      <c r="D192" s="18">
        <f t="shared" si="18"/>
        <v>1000000</v>
      </c>
      <c r="E192" s="103" t="s">
        <v>4119</v>
      </c>
      <c r="F192" s="103">
        <v>1</v>
      </c>
      <c r="G192" s="36">
        <f t="shared" si="14"/>
        <v>32</v>
      </c>
      <c r="H192" s="103">
        <f t="shared" si="15"/>
        <v>1</v>
      </c>
      <c r="I192" s="103">
        <f t="shared" si="13"/>
        <v>31000000</v>
      </c>
      <c r="J192" s="103">
        <f t="shared" si="16"/>
        <v>0</v>
      </c>
      <c r="K192" s="103">
        <f t="shared" si="17"/>
        <v>31000000</v>
      </c>
    </row>
    <row r="193" spans="1:11" x14ac:dyDescent="0.25">
      <c r="A193" s="103" t="s">
        <v>4156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31</v>
      </c>
      <c r="H193" s="103">
        <f t="shared" si="15"/>
        <v>0</v>
      </c>
      <c r="I193" s="103">
        <f t="shared" si="13"/>
        <v>-465000</v>
      </c>
      <c r="J193" s="103">
        <f t="shared" si="16"/>
        <v>0</v>
      </c>
      <c r="K193" s="103">
        <f t="shared" si="17"/>
        <v>-465000</v>
      </c>
    </row>
    <row r="194" spans="1:11" x14ac:dyDescent="0.25">
      <c r="A194" s="103" t="s">
        <v>4152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29</v>
      </c>
      <c r="H194" s="103">
        <f t="shared" si="15"/>
        <v>0</v>
      </c>
      <c r="I194" s="103">
        <f t="shared" si="13"/>
        <v>-28710000</v>
      </c>
      <c r="J194" s="103">
        <f t="shared" si="16"/>
        <v>0</v>
      </c>
      <c r="K194" s="103">
        <f t="shared" si="17"/>
        <v>-28710000</v>
      </c>
    </row>
    <row r="195" spans="1:11" x14ac:dyDescent="0.25">
      <c r="A195" s="103" t="s">
        <v>4152</v>
      </c>
      <c r="B195" s="18">
        <v>783000</v>
      </c>
      <c r="C195" s="18">
        <v>0</v>
      </c>
      <c r="D195" s="18">
        <f t="shared" si="18"/>
        <v>783000</v>
      </c>
      <c r="E195" s="103" t="s">
        <v>4160</v>
      </c>
      <c r="F195" s="103">
        <v>2</v>
      </c>
      <c r="G195" s="36">
        <f t="shared" si="14"/>
        <v>29</v>
      </c>
      <c r="H195" s="103">
        <f t="shared" si="15"/>
        <v>1</v>
      </c>
      <c r="I195" s="103">
        <f t="shared" si="13"/>
        <v>21924000</v>
      </c>
      <c r="J195" s="103">
        <f t="shared" si="16"/>
        <v>0</v>
      </c>
      <c r="K195" s="103">
        <f t="shared" si="17"/>
        <v>21924000</v>
      </c>
    </row>
    <row r="196" spans="1:11" x14ac:dyDescent="0.25">
      <c r="A196" s="103" t="s">
        <v>4169</v>
      </c>
      <c r="B196" s="18">
        <v>-750500</v>
      </c>
      <c r="C196" s="18">
        <v>0</v>
      </c>
      <c r="D196" s="18">
        <f t="shared" si="18"/>
        <v>-750500</v>
      </c>
      <c r="E196" s="103" t="s">
        <v>4170</v>
      </c>
      <c r="F196" s="103">
        <v>2</v>
      </c>
      <c r="G196" s="36">
        <f t="shared" si="14"/>
        <v>27</v>
      </c>
      <c r="H196" s="103">
        <f t="shared" si="15"/>
        <v>0</v>
      </c>
      <c r="I196" s="103">
        <f t="shared" si="13"/>
        <v>-20263500</v>
      </c>
      <c r="J196" s="103">
        <f t="shared" si="16"/>
        <v>0</v>
      </c>
      <c r="K196" s="103">
        <f t="shared" si="17"/>
        <v>-20263500</v>
      </c>
    </row>
    <row r="197" spans="1:11" x14ac:dyDescent="0.25">
      <c r="A197" s="103" t="s">
        <v>4183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25</v>
      </c>
      <c r="H197" s="103">
        <f t="shared" si="15"/>
        <v>1</v>
      </c>
      <c r="I197" s="103">
        <f t="shared" si="13"/>
        <v>16800000</v>
      </c>
      <c r="J197" s="103">
        <f t="shared" si="16"/>
        <v>0</v>
      </c>
      <c r="K197" s="103">
        <f t="shared" si="17"/>
        <v>16800000</v>
      </c>
    </row>
    <row r="198" spans="1:11" x14ac:dyDescent="0.25">
      <c r="A198" s="103" t="s">
        <v>4183</v>
      </c>
      <c r="B198" s="18">
        <v>-99000</v>
      </c>
      <c r="C198" s="18">
        <v>0</v>
      </c>
      <c r="D198" s="18">
        <f t="shared" si="18"/>
        <v>-99000</v>
      </c>
      <c r="E198" s="103" t="s">
        <v>4187</v>
      </c>
      <c r="F198" s="103">
        <v>1</v>
      </c>
      <c r="G198" s="36">
        <f t="shared" si="14"/>
        <v>25</v>
      </c>
      <c r="H198" s="103">
        <f t="shared" si="15"/>
        <v>0</v>
      </c>
      <c r="I198" s="103">
        <f t="shared" si="13"/>
        <v>-2475000</v>
      </c>
      <c r="J198" s="103">
        <f t="shared" si="16"/>
        <v>0</v>
      </c>
      <c r="K198" s="103">
        <f t="shared" si="17"/>
        <v>-2475000</v>
      </c>
    </row>
    <row r="199" spans="1:11" x14ac:dyDescent="0.25">
      <c r="A199" s="103" t="s">
        <v>4188</v>
      </c>
      <c r="B199" s="18">
        <v>-205750</v>
      </c>
      <c r="C199" s="18">
        <v>0</v>
      </c>
      <c r="D199" s="18">
        <f t="shared" si="18"/>
        <v>-205750</v>
      </c>
      <c r="E199" s="103" t="s">
        <v>4189</v>
      </c>
      <c r="F199" s="103">
        <v>0</v>
      </c>
      <c r="G199" s="36">
        <f t="shared" si="14"/>
        <v>24</v>
      </c>
      <c r="H199" s="103">
        <f t="shared" si="15"/>
        <v>0</v>
      </c>
      <c r="I199" s="103">
        <f t="shared" si="13"/>
        <v>-4938000</v>
      </c>
      <c r="J199" s="103">
        <f t="shared" si="16"/>
        <v>0</v>
      </c>
      <c r="K199" s="103">
        <f t="shared" si="17"/>
        <v>-4938000</v>
      </c>
    </row>
    <row r="200" spans="1:11" x14ac:dyDescent="0.25">
      <c r="A200" s="103" t="s">
        <v>4188</v>
      </c>
      <c r="B200" s="18">
        <v>-95000</v>
      </c>
      <c r="C200" s="18">
        <v>0</v>
      </c>
      <c r="D200" s="18">
        <f t="shared" si="18"/>
        <v>-95000</v>
      </c>
      <c r="E200" s="103" t="s">
        <v>4190</v>
      </c>
      <c r="F200" s="103">
        <v>3</v>
      </c>
      <c r="G200" s="36">
        <f t="shared" si="14"/>
        <v>24</v>
      </c>
      <c r="H200" s="103">
        <f t="shared" si="15"/>
        <v>0</v>
      </c>
      <c r="I200" s="103">
        <f t="shared" si="13"/>
        <v>-2280000</v>
      </c>
      <c r="J200" s="103">
        <f t="shared" si="16"/>
        <v>0</v>
      </c>
      <c r="K200" s="103">
        <f t="shared" si="17"/>
        <v>-2280000</v>
      </c>
    </row>
    <row r="201" spans="1:11" x14ac:dyDescent="0.25">
      <c r="A201" s="103" t="s">
        <v>4213</v>
      </c>
      <c r="B201" s="18">
        <v>48650000</v>
      </c>
      <c r="C201" s="18">
        <v>0</v>
      </c>
      <c r="D201" s="18">
        <f t="shared" si="18"/>
        <v>48650000</v>
      </c>
      <c r="E201" s="103" t="s">
        <v>4214</v>
      </c>
      <c r="F201" s="103">
        <v>0</v>
      </c>
      <c r="G201" s="36">
        <f t="shared" si="14"/>
        <v>21</v>
      </c>
      <c r="H201" s="103">
        <f t="shared" si="15"/>
        <v>1</v>
      </c>
      <c r="I201" s="103">
        <f t="shared" si="13"/>
        <v>973000000</v>
      </c>
      <c r="J201" s="103">
        <f t="shared" si="16"/>
        <v>0</v>
      </c>
      <c r="K201" s="103">
        <f t="shared" si="17"/>
        <v>973000000</v>
      </c>
    </row>
    <row r="202" spans="1:11" x14ac:dyDescent="0.25">
      <c r="A202" s="103" t="s">
        <v>4213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21</v>
      </c>
      <c r="H202" s="103">
        <f t="shared" si="15"/>
        <v>0</v>
      </c>
      <c r="I202" s="103">
        <f t="shared" si="13"/>
        <v>-63018900</v>
      </c>
      <c r="J202" s="103">
        <f t="shared" si="16"/>
        <v>0</v>
      </c>
      <c r="K202" s="103">
        <f t="shared" si="17"/>
        <v>-63018900</v>
      </c>
    </row>
    <row r="203" spans="1:11" x14ac:dyDescent="0.25">
      <c r="A203" s="103" t="s">
        <v>4213</v>
      </c>
      <c r="B203" s="18">
        <v>-5000</v>
      </c>
      <c r="C203" s="18">
        <v>0</v>
      </c>
      <c r="D203" s="18">
        <f t="shared" si="18"/>
        <v>-5000</v>
      </c>
      <c r="E203" s="103" t="s">
        <v>4215</v>
      </c>
      <c r="F203" s="103">
        <v>0</v>
      </c>
      <c r="G203" s="36">
        <f t="shared" si="14"/>
        <v>21</v>
      </c>
      <c r="H203" s="103">
        <f t="shared" si="15"/>
        <v>0</v>
      </c>
      <c r="I203" s="103">
        <f t="shared" si="13"/>
        <v>-105000</v>
      </c>
      <c r="J203" s="103">
        <f t="shared" si="16"/>
        <v>0</v>
      </c>
      <c r="K203" s="103">
        <f t="shared" si="17"/>
        <v>-105000</v>
      </c>
    </row>
    <row r="204" spans="1:11" x14ac:dyDescent="0.25">
      <c r="A204" s="103" t="s">
        <v>4213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21</v>
      </c>
      <c r="H204" s="103">
        <f t="shared" si="15"/>
        <v>0</v>
      </c>
      <c r="I204" s="103">
        <f t="shared" si="13"/>
        <v>-703500000</v>
      </c>
      <c r="J204" s="103">
        <f t="shared" si="16"/>
        <v>0</v>
      </c>
      <c r="K204" s="103">
        <f t="shared" si="17"/>
        <v>-703500000</v>
      </c>
    </row>
    <row r="205" spans="1:11" x14ac:dyDescent="0.25">
      <c r="A205" s="11" t="s">
        <v>4221</v>
      </c>
      <c r="B205" s="18">
        <v>-12435000</v>
      </c>
      <c r="C205" s="18">
        <v>0</v>
      </c>
      <c r="D205" s="18">
        <f t="shared" si="18"/>
        <v>-12435000</v>
      </c>
      <c r="E205" s="11" t="s">
        <v>3803</v>
      </c>
      <c r="F205" s="11">
        <v>3</v>
      </c>
      <c r="G205" s="36">
        <f t="shared" ref="G205:G266" si="19">G206+F205</f>
        <v>20</v>
      </c>
      <c r="H205" s="103">
        <f t="shared" si="15"/>
        <v>0</v>
      </c>
      <c r="I205" s="103">
        <f t="shared" si="13"/>
        <v>-248700000</v>
      </c>
      <c r="J205" s="103">
        <f t="shared" si="16"/>
        <v>0</v>
      </c>
      <c r="K205" s="103">
        <f t="shared" si="17"/>
        <v>-248700000</v>
      </c>
    </row>
    <row r="206" spans="1:11" x14ac:dyDescent="0.25">
      <c r="A206" s="103" t="s">
        <v>4238</v>
      </c>
      <c r="B206" s="18">
        <v>-18500</v>
      </c>
      <c r="C206" s="18">
        <v>0</v>
      </c>
      <c r="D206" s="18">
        <f t="shared" si="18"/>
        <v>-18500</v>
      </c>
      <c r="E206" s="103" t="s">
        <v>4239</v>
      </c>
      <c r="F206" s="103">
        <v>2</v>
      </c>
      <c r="G206" s="36">
        <f t="shared" si="19"/>
        <v>17</v>
      </c>
      <c r="H206" s="103">
        <f t="shared" si="15"/>
        <v>0</v>
      </c>
      <c r="I206" s="103">
        <f t="shared" si="13"/>
        <v>-314500</v>
      </c>
      <c r="J206" s="103">
        <f t="shared" si="16"/>
        <v>0</v>
      </c>
      <c r="K206" s="103">
        <f t="shared" si="17"/>
        <v>-314500</v>
      </c>
    </row>
    <row r="207" spans="1:11" x14ac:dyDescent="0.25">
      <c r="A207" s="103" t="s">
        <v>4232</v>
      </c>
      <c r="B207" s="18">
        <v>14480</v>
      </c>
      <c r="C207" s="18">
        <v>70874</v>
      </c>
      <c r="D207" s="18">
        <f t="shared" si="18"/>
        <v>-56394</v>
      </c>
      <c r="E207" s="103" t="s">
        <v>695</v>
      </c>
      <c r="F207" s="103">
        <v>1</v>
      </c>
      <c r="G207" s="36">
        <f t="shared" si="19"/>
        <v>15</v>
      </c>
      <c r="H207" s="103">
        <f t="shared" si="15"/>
        <v>1</v>
      </c>
      <c r="I207" s="103">
        <f t="shared" si="13"/>
        <v>202720</v>
      </c>
      <c r="J207" s="103">
        <f t="shared" ref="J207:J266" si="20">C207*(G207-H207)</f>
        <v>992236</v>
      </c>
      <c r="K207" s="103">
        <f t="shared" si="17"/>
        <v>-789516</v>
      </c>
    </row>
    <row r="208" spans="1:11" x14ac:dyDescent="0.25">
      <c r="A208" s="103" t="s">
        <v>4241</v>
      </c>
      <c r="B208" s="18">
        <v>830000</v>
      </c>
      <c r="C208" s="18">
        <v>0</v>
      </c>
      <c r="D208" s="18">
        <f t="shared" si="18"/>
        <v>830000</v>
      </c>
      <c r="E208" s="103" t="s">
        <v>4242</v>
      </c>
      <c r="F208" s="103">
        <v>2</v>
      </c>
      <c r="G208" s="36">
        <f t="shared" si="19"/>
        <v>14</v>
      </c>
      <c r="H208" s="103">
        <f t="shared" si="15"/>
        <v>1</v>
      </c>
      <c r="I208" s="103">
        <f t="shared" si="13"/>
        <v>10790000</v>
      </c>
      <c r="J208" s="103">
        <f t="shared" si="20"/>
        <v>0</v>
      </c>
      <c r="K208" s="103">
        <f t="shared" si="17"/>
        <v>10790000</v>
      </c>
    </row>
    <row r="209" spans="1:13" x14ac:dyDescent="0.25">
      <c r="A209" s="103" t="s">
        <v>4265</v>
      </c>
      <c r="B209" s="18">
        <v>-52440</v>
      </c>
      <c r="C209" s="18">
        <v>0</v>
      </c>
      <c r="D209" s="18">
        <f t="shared" si="18"/>
        <v>-52440</v>
      </c>
      <c r="E209" s="103" t="s">
        <v>4272</v>
      </c>
      <c r="F209" s="103">
        <v>1</v>
      </c>
      <c r="G209" s="36">
        <f t="shared" si="19"/>
        <v>12</v>
      </c>
      <c r="H209" s="103">
        <f t="shared" si="15"/>
        <v>0</v>
      </c>
      <c r="I209" s="103">
        <f t="shared" si="13"/>
        <v>-629280</v>
      </c>
      <c r="J209" s="103">
        <f t="shared" si="20"/>
        <v>0</v>
      </c>
      <c r="K209" s="103">
        <f t="shared" si="17"/>
        <v>-629280</v>
      </c>
    </row>
    <row r="210" spans="1:13" x14ac:dyDescent="0.25">
      <c r="A210" s="103" t="s">
        <v>4274</v>
      </c>
      <c r="B210" s="18">
        <v>-51100</v>
      </c>
      <c r="C210" s="18">
        <v>0</v>
      </c>
      <c r="D210" s="18">
        <f t="shared" si="18"/>
        <v>-51100</v>
      </c>
      <c r="E210" s="103" t="s">
        <v>452</v>
      </c>
      <c r="F210" s="103">
        <v>1</v>
      </c>
      <c r="G210" s="36">
        <f t="shared" si="19"/>
        <v>11</v>
      </c>
      <c r="H210" s="103">
        <f t="shared" si="15"/>
        <v>0</v>
      </c>
      <c r="I210" s="103">
        <f t="shared" si="13"/>
        <v>-562100</v>
      </c>
      <c r="J210" s="103">
        <f t="shared" si="20"/>
        <v>0</v>
      </c>
      <c r="K210" s="103">
        <f t="shared" si="17"/>
        <v>-562100</v>
      </c>
    </row>
    <row r="211" spans="1:13" x14ac:dyDescent="0.25">
      <c r="A211" s="103" t="s">
        <v>4277</v>
      </c>
      <c r="B211" s="18">
        <v>-200000</v>
      </c>
      <c r="C211" s="18">
        <v>0</v>
      </c>
      <c r="D211" s="18">
        <f t="shared" si="18"/>
        <v>-200000</v>
      </c>
      <c r="E211" s="103" t="s">
        <v>4278</v>
      </c>
      <c r="F211" s="103">
        <v>1</v>
      </c>
      <c r="G211" s="36">
        <f t="shared" si="19"/>
        <v>10</v>
      </c>
      <c r="H211" s="103">
        <f t="shared" si="15"/>
        <v>0</v>
      </c>
      <c r="I211" s="103">
        <f t="shared" si="13"/>
        <v>-2000000</v>
      </c>
      <c r="J211" s="103">
        <f t="shared" si="20"/>
        <v>0</v>
      </c>
      <c r="K211" s="103">
        <f t="shared" si="17"/>
        <v>-2000000</v>
      </c>
    </row>
    <row r="212" spans="1:13" x14ac:dyDescent="0.25">
      <c r="A212" s="103" t="s">
        <v>4279</v>
      </c>
      <c r="B212" s="18">
        <v>-28000</v>
      </c>
      <c r="C212" s="18">
        <v>0</v>
      </c>
      <c r="D212" s="18">
        <f t="shared" si="18"/>
        <v>-28000</v>
      </c>
      <c r="E212" s="103" t="s">
        <v>1041</v>
      </c>
      <c r="F212" s="103">
        <v>1</v>
      </c>
      <c r="G212" s="36">
        <f t="shared" si="19"/>
        <v>9</v>
      </c>
      <c r="H212" s="103">
        <f t="shared" si="15"/>
        <v>0</v>
      </c>
      <c r="I212" s="103">
        <f t="shared" si="13"/>
        <v>-252000</v>
      </c>
      <c r="J212" s="103">
        <f t="shared" si="20"/>
        <v>0</v>
      </c>
      <c r="K212" s="103">
        <f t="shared" si="17"/>
        <v>-252000</v>
      </c>
    </row>
    <row r="213" spans="1:13" x14ac:dyDescent="0.25">
      <c r="A213" s="103" t="s">
        <v>4280</v>
      </c>
      <c r="B213" s="18">
        <v>-59100</v>
      </c>
      <c r="C213" s="18">
        <v>0</v>
      </c>
      <c r="D213" s="18">
        <f t="shared" si="18"/>
        <v>-59100</v>
      </c>
      <c r="E213" s="103" t="s">
        <v>452</v>
      </c>
      <c r="F213" s="103">
        <v>1</v>
      </c>
      <c r="G213" s="36">
        <f t="shared" si="19"/>
        <v>8</v>
      </c>
      <c r="H213" s="103">
        <f t="shared" si="15"/>
        <v>0</v>
      </c>
      <c r="I213" s="103">
        <f t="shared" si="13"/>
        <v>-472800</v>
      </c>
      <c r="J213" s="103">
        <f t="shared" si="20"/>
        <v>0</v>
      </c>
      <c r="K213" s="103">
        <f t="shared" si="17"/>
        <v>-472800</v>
      </c>
    </row>
    <row r="214" spans="1:13" x14ac:dyDescent="0.25">
      <c r="A214" s="103" t="s">
        <v>4280</v>
      </c>
      <c r="B214" s="18">
        <v>-30000</v>
      </c>
      <c r="C214" s="18">
        <v>0</v>
      </c>
      <c r="D214" s="18">
        <f t="shared" si="18"/>
        <v>-30000</v>
      </c>
      <c r="E214" s="103" t="s">
        <v>4281</v>
      </c>
      <c r="F214" s="103">
        <v>0</v>
      </c>
      <c r="G214" s="36">
        <f t="shared" si="19"/>
        <v>7</v>
      </c>
      <c r="H214" s="103">
        <f t="shared" si="15"/>
        <v>0</v>
      </c>
      <c r="I214" s="103">
        <f t="shared" si="13"/>
        <v>-210000</v>
      </c>
      <c r="J214" s="103">
        <f t="shared" si="20"/>
        <v>0</v>
      </c>
      <c r="K214" s="103">
        <f t="shared" si="17"/>
        <v>-210000</v>
      </c>
    </row>
    <row r="215" spans="1:13" x14ac:dyDescent="0.25">
      <c r="A215" s="103" t="s">
        <v>4280</v>
      </c>
      <c r="B215" s="18">
        <v>-178000</v>
      </c>
      <c r="C215" s="18">
        <v>0</v>
      </c>
      <c r="D215" s="18">
        <f t="shared" si="18"/>
        <v>-178000</v>
      </c>
      <c r="E215" s="103" t="s">
        <v>4283</v>
      </c>
      <c r="F215" s="103">
        <v>1</v>
      </c>
      <c r="G215" s="36">
        <f t="shared" si="19"/>
        <v>7</v>
      </c>
      <c r="H215" s="103">
        <f t="shared" si="15"/>
        <v>0</v>
      </c>
      <c r="I215" s="103">
        <f t="shared" si="13"/>
        <v>-1246000</v>
      </c>
      <c r="J215" s="103">
        <f t="shared" si="20"/>
        <v>0</v>
      </c>
      <c r="K215" s="103">
        <f t="shared" si="17"/>
        <v>-1246000</v>
      </c>
    </row>
    <row r="216" spans="1:13" x14ac:dyDescent="0.25">
      <c r="A216" s="103" t="s">
        <v>4285</v>
      </c>
      <c r="B216" s="18">
        <v>-95610</v>
      </c>
      <c r="C216" s="18">
        <v>0</v>
      </c>
      <c r="D216" s="18">
        <f t="shared" si="18"/>
        <v>-95610</v>
      </c>
      <c r="E216" s="103" t="s">
        <v>452</v>
      </c>
      <c r="F216" s="103">
        <v>3</v>
      </c>
      <c r="G216" s="36">
        <f t="shared" si="19"/>
        <v>6</v>
      </c>
      <c r="H216" s="103">
        <f t="shared" si="15"/>
        <v>0</v>
      </c>
      <c r="I216" s="103">
        <f t="shared" si="13"/>
        <v>-573660</v>
      </c>
      <c r="J216" s="103">
        <f t="shared" si="20"/>
        <v>0</v>
      </c>
      <c r="K216" s="103">
        <f t="shared" si="17"/>
        <v>-573660</v>
      </c>
    </row>
    <row r="217" spans="1:13" x14ac:dyDescent="0.25">
      <c r="A217" s="103" t="s">
        <v>4231</v>
      </c>
      <c r="B217" s="18">
        <v>-84000</v>
      </c>
      <c r="C217" s="18">
        <v>0</v>
      </c>
      <c r="D217" s="18">
        <f t="shared" si="18"/>
        <v>-84000</v>
      </c>
      <c r="E217" s="103" t="s">
        <v>452</v>
      </c>
      <c r="F217" s="103">
        <v>2</v>
      </c>
      <c r="G217" s="36">
        <f>G218+F217</f>
        <v>3</v>
      </c>
      <c r="H217" s="103">
        <f t="shared" si="15"/>
        <v>0</v>
      </c>
      <c r="I217" s="103">
        <f t="shared" si="13"/>
        <v>-252000</v>
      </c>
      <c r="J217" s="103">
        <f t="shared" si="20"/>
        <v>0</v>
      </c>
      <c r="K217" s="103">
        <f t="shared" si="17"/>
        <v>-252000</v>
      </c>
    </row>
    <row r="218" spans="1:13" x14ac:dyDescent="0.25">
      <c r="A218" s="103" t="s">
        <v>4289</v>
      </c>
      <c r="B218" s="18">
        <v>-33000</v>
      </c>
      <c r="C218" s="18">
        <v>0</v>
      </c>
      <c r="D218" s="18">
        <f t="shared" si="18"/>
        <v>-33000</v>
      </c>
      <c r="E218" s="103" t="s">
        <v>452</v>
      </c>
      <c r="F218" s="103">
        <v>1</v>
      </c>
      <c r="G218" s="36">
        <f t="shared" ref="G218:G265" si="21">G219+F218</f>
        <v>1</v>
      </c>
      <c r="H218" s="103">
        <f t="shared" si="15"/>
        <v>0</v>
      </c>
      <c r="I218" s="103">
        <f t="shared" si="13"/>
        <v>-33000</v>
      </c>
      <c r="J218" s="103">
        <f t="shared" si="20"/>
        <v>0</v>
      </c>
      <c r="K218" s="103">
        <f t="shared" si="17"/>
        <v>-33000</v>
      </c>
    </row>
    <row r="219" spans="1:13" x14ac:dyDescent="0.25">
      <c r="A219" s="103"/>
      <c r="B219" s="18"/>
      <c r="C219" s="18"/>
      <c r="D219" s="18">
        <f t="shared" si="18"/>
        <v>0</v>
      </c>
      <c r="E219" s="103"/>
      <c r="F219" s="103"/>
      <c r="G219" s="36">
        <f t="shared" si="21"/>
        <v>0</v>
      </c>
      <c r="H219" s="103">
        <f t="shared" si="15"/>
        <v>0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3" x14ac:dyDescent="0.25">
      <c r="A220" s="103"/>
      <c r="B220" s="18"/>
      <c r="C220" s="18"/>
      <c r="D220" s="18">
        <f t="shared" si="18"/>
        <v>0</v>
      </c>
      <c r="E220" s="103"/>
      <c r="F220" s="103"/>
      <c r="G220" s="36">
        <f t="shared" si="21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3" x14ac:dyDescent="0.25">
      <c r="A221" s="103"/>
      <c r="B221" s="18"/>
      <c r="C221" s="18"/>
      <c r="D221" s="18">
        <f t="shared" si="18"/>
        <v>0</v>
      </c>
      <c r="E221" s="103"/>
      <c r="F221" s="103"/>
      <c r="G221" s="36">
        <f t="shared" si="21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3" x14ac:dyDescent="0.25">
      <c r="A222" s="103"/>
      <c r="B222" s="18"/>
      <c r="C222" s="18"/>
      <c r="D222" s="18">
        <f t="shared" si="18"/>
        <v>0</v>
      </c>
      <c r="E222" s="103"/>
      <c r="F222" s="103"/>
      <c r="G222" s="36">
        <f t="shared" si="21"/>
        <v>0</v>
      </c>
      <c r="H222" s="103">
        <f t="shared" si="15"/>
        <v>0</v>
      </c>
      <c r="I222" s="103">
        <f t="shared" si="13"/>
        <v>0</v>
      </c>
      <c r="J222" s="103">
        <f t="shared" si="20"/>
        <v>0</v>
      </c>
      <c r="K222" s="103">
        <f t="shared" si="17"/>
        <v>0</v>
      </c>
    </row>
    <row r="223" spans="1:13" x14ac:dyDescent="0.25">
      <c r="A223" s="103"/>
      <c r="B223" s="18"/>
      <c r="C223" s="18"/>
      <c r="D223" s="18">
        <f t="shared" si="18"/>
        <v>0</v>
      </c>
      <c r="E223" s="103"/>
      <c r="F223" s="103"/>
      <c r="G223" s="36">
        <f t="shared" si="21"/>
        <v>0</v>
      </c>
      <c r="H223" s="103">
        <f t="shared" si="15"/>
        <v>0</v>
      </c>
      <c r="I223" s="103">
        <f t="shared" si="13"/>
        <v>0</v>
      </c>
      <c r="J223" s="103">
        <f t="shared" si="20"/>
        <v>0</v>
      </c>
      <c r="K223" s="103">
        <f t="shared" si="17"/>
        <v>0</v>
      </c>
      <c r="M223" t="s">
        <v>25</v>
      </c>
    </row>
    <row r="224" spans="1:13" x14ac:dyDescent="0.25">
      <c r="A224" s="103"/>
      <c r="B224" s="18"/>
      <c r="C224" s="18"/>
      <c r="D224" s="18">
        <f t="shared" si="18"/>
        <v>0</v>
      </c>
      <c r="E224" s="103"/>
      <c r="F224" s="103"/>
      <c r="G224" s="36">
        <f t="shared" si="21"/>
        <v>0</v>
      </c>
      <c r="H224" s="103">
        <f t="shared" si="15"/>
        <v>0</v>
      </c>
      <c r="I224" s="103">
        <f t="shared" si="13"/>
        <v>0</v>
      </c>
      <c r="J224" s="103">
        <f t="shared" si="20"/>
        <v>0</v>
      </c>
      <c r="K224" s="103">
        <f t="shared" si="17"/>
        <v>0</v>
      </c>
      <c r="M224" t="s">
        <v>25</v>
      </c>
    </row>
    <row r="225" spans="1:13" x14ac:dyDescent="0.25">
      <c r="A225" s="103"/>
      <c r="B225" s="18"/>
      <c r="C225" s="18"/>
      <c r="D225" s="18">
        <f t="shared" si="18"/>
        <v>0</v>
      </c>
      <c r="E225" s="103"/>
      <c r="F225" s="103"/>
      <c r="G225" s="36">
        <f t="shared" si="21"/>
        <v>0</v>
      </c>
      <c r="H225" s="103">
        <f t="shared" si="15"/>
        <v>0</v>
      </c>
      <c r="I225" s="103">
        <f t="shared" si="13"/>
        <v>0</v>
      </c>
      <c r="J225" s="103">
        <f t="shared" si="20"/>
        <v>0</v>
      </c>
      <c r="K225" s="103">
        <f t="shared" si="17"/>
        <v>0</v>
      </c>
    </row>
    <row r="226" spans="1:13" x14ac:dyDescent="0.25">
      <c r="A226" s="103"/>
      <c r="B226" s="18"/>
      <c r="C226" s="18"/>
      <c r="D226" s="18">
        <f t="shared" si="18"/>
        <v>0</v>
      </c>
      <c r="E226" s="103"/>
      <c r="F226" s="103"/>
      <c r="G226" s="36">
        <f t="shared" si="21"/>
        <v>0</v>
      </c>
      <c r="H226" s="103">
        <f t="shared" si="15"/>
        <v>0</v>
      </c>
      <c r="I226" s="103">
        <f t="shared" si="13"/>
        <v>0</v>
      </c>
      <c r="J226" s="103">
        <f t="shared" si="20"/>
        <v>0</v>
      </c>
      <c r="K226" s="103">
        <f t="shared" si="17"/>
        <v>0</v>
      </c>
    </row>
    <row r="227" spans="1:13" x14ac:dyDescent="0.25">
      <c r="A227" s="103"/>
      <c r="B227" s="18"/>
      <c r="C227" s="18"/>
      <c r="D227" s="18">
        <f t="shared" si="18"/>
        <v>0</v>
      </c>
      <c r="E227" s="103"/>
      <c r="F227" s="103"/>
      <c r="G227" s="36">
        <f t="shared" si="21"/>
        <v>0</v>
      </c>
      <c r="H227" s="103">
        <f t="shared" si="15"/>
        <v>0</v>
      </c>
      <c r="I227" s="103">
        <f t="shared" si="13"/>
        <v>0</v>
      </c>
      <c r="J227" s="103">
        <f t="shared" si="20"/>
        <v>0</v>
      </c>
      <c r="K227" s="103">
        <f t="shared" si="17"/>
        <v>0</v>
      </c>
    </row>
    <row r="228" spans="1:13" x14ac:dyDescent="0.25">
      <c r="A228" s="103"/>
      <c r="B228" s="18"/>
      <c r="C228" s="18"/>
      <c r="D228" s="18">
        <f t="shared" si="18"/>
        <v>0</v>
      </c>
      <c r="E228" s="103"/>
      <c r="F228" s="103"/>
      <c r="G228" s="36">
        <f t="shared" si="21"/>
        <v>0</v>
      </c>
      <c r="H228" s="103">
        <f t="shared" si="15"/>
        <v>0</v>
      </c>
      <c r="I228" s="103">
        <f t="shared" si="13"/>
        <v>0</v>
      </c>
      <c r="J228" s="103">
        <f t="shared" si="20"/>
        <v>0</v>
      </c>
      <c r="K228" s="103">
        <f t="shared" si="17"/>
        <v>0</v>
      </c>
    </row>
    <row r="229" spans="1:13" x14ac:dyDescent="0.25">
      <c r="A229" s="103"/>
      <c r="B229" s="18"/>
      <c r="C229" s="18"/>
      <c r="D229" s="18">
        <f t="shared" si="18"/>
        <v>0</v>
      </c>
      <c r="E229" s="103"/>
      <c r="F229" s="103"/>
      <c r="G229" s="36">
        <f t="shared" si="21"/>
        <v>0</v>
      </c>
      <c r="H229" s="103">
        <f t="shared" si="15"/>
        <v>0</v>
      </c>
      <c r="I229" s="103">
        <f t="shared" si="13"/>
        <v>0</v>
      </c>
      <c r="J229" s="103">
        <f t="shared" si="20"/>
        <v>0</v>
      </c>
      <c r="K229" s="103">
        <f t="shared" si="17"/>
        <v>0</v>
      </c>
    </row>
    <row r="230" spans="1:13" x14ac:dyDescent="0.25">
      <c r="A230" s="103"/>
      <c r="B230" s="18"/>
      <c r="C230" s="18"/>
      <c r="D230" s="18">
        <f t="shared" si="18"/>
        <v>0</v>
      </c>
      <c r="E230" s="103"/>
      <c r="F230" s="103"/>
      <c r="G230" s="36">
        <f t="shared" si="21"/>
        <v>0</v>
      </c>
      <c r="H230" s="103">
        <f t="shared" si="15"/>
        <v>0</v>
      </c>
      <c r="I230" s="103">
        <f t="shared" si="13"/>
        <v>0</v>
      </c>
      <c r="J230" s="103">
        <f t="shared" si="20"/>
        <v>0</v>
      </c>
      <c r="K230" s="103">
        <f t="shared" si="17"/>
        <v>0</v>
      </c>
    </row>
    <row r="231" spans="1:13" x14ac:dyDescent="0.25">
      <c r="A231" s="103"/>
      <c r="B231" s="18"/>
      <c r="C231" s="18"/>
      <c r="D231" s="18">
        <f t="shared" si="18"/>
        <v>0</v>
      </c>
      <c r="E231" s="103"/>
      <c r="F231" s="103"/>
      <c r="G231" s="36">
        <f t="shared" si="21"/>
        <v>0</v>
      </c>
      <c r="H231" s="103">
        <f t="shared" si="15"/>
        <v>0</v>
      </c>
      <c r="I231" s="103">
        <f t="shared" si="13"/>
        <v>0</v>
      </c>
      <c r="J231" s="103">
        <f t="shared" si="20"/>
        <v>0</v>
      </c>
      <c r="K231" s="103">
        <f t="shared" si="17"/>
        <v>0</v>
      </c>
    </row>
    <row r="232" spans="1:13" x14ac:dyDescent="0.25">
      <c r="A232" s="103"/>
      <c r="B232" s="18"/>
      <c r="C232" s="18"/>
      <c r="D232" s="18">
        <f t="shared" si="18"/>
        <v>0</v>
      </c>
      <c r="E232" s="103"/>
      <c r="F232" s="103"/>
      <c r="G232" s="36">
        <f t="shared" si="21"/>
        <v>0</v>
      </c>
      <c r="H232" s="103">
        <f t="shared" si="15"/>
        <v>0</v>
      </c>
      <c r="I232" s="103">
        <f t="shared" si="13"/>
        <v>0</v>
      </c>
      <c r="J232" s="103">
        <f t="shared" si="20"/>
        <v>0</v>
      </c>
      <c r="K232" s="103">
        <f t="shared" si="17"/>
        <v>0</v>
      </c>
    </row>
    <row r="233" spans="1:13" x14ac:dyDescent="0.25">
      <c r="A233" s="103"/>
      <c r="B233" s="18"/>
      <c r="C233" s="18"/>
      <c r="D233" s="18">
        <f t="shared" si="18"/>
        <v>0</v>
      </c>
      <c r="E233" s="103"/>
      <c r="F233" s="103"/>
      <c r="G233" s="36">
        <f t="shared" si="21"/>
        <v>0</v>
      </c>
      <c r="H233" s="103">
        <f t="shared" si="15"/>
        <v>0</v>
      </c>
      <c r="I233" s="103">
        <f t="shared" si="13"/>
        <v>0</v>
      </c>
      <c r="J233" s="103">
        <f t="shared" si="20"/>
        <v>0</v>
      </c>
      <c r="K233" s="103">
        <f t="shared" si="17"/>
        <v>0</v>
      </c>
    </row>
    <row r="234" spans="1:13" x14ac:dyDescent="0.25">
      <c r="A234" s="103"/>
      <c r="B234" s="18"/>
      <c r="C234" s="18"/>
      <c r="D234" s="18">
        <f t="shared" si="18"/>
        <v>0</v>
      </c>
      <c r="E234" s="103"/>
      <c r="F234" s="103"/>
      <c r="G234" s="36">
        <f t="shared" si="21"/>
        <v>0</v>
      </c>
      <c r="H234" s="103">
        <f t="shared" si="15"/>
        <v>0</v>
      </c>
      <c r="I234" s="103">
        <f t="shared" si="13"/>
        <v>0</v>
      </c>
      <c r="J234" s="103">
        <f t="shared" si="20"/>
        <v>0</v>
      </c>
      <c r="K234" s="103">
        <f t="shared" si="17"/>
        <v>0</v>
      </c>
    </row>
    <row r="235" spans="1:13" x14ac:dyDescent="0.25">
      <c r="A235" s="103"/>
      <c r="B235" s="18"/>
      <c r="C235" s="18"/>
      <c r="D235" s="18">
        <f t="shared" si="18"/>
        <v>0</v>
      </c>
      <c r="E235" s="103"/>
      <c r="F235" s="103"/>
      <c r="G235" s="36">
        <f t="shared" si="21"/>
        <v>0</v>
      </c>
      <c r="H235" s="103">
        <f t="shared" si="15"/>
        <v>0</v>
      </c>
      <c r="I235" s="103">
        <f t="shared" si="13"/>
        <v>0</v>
      </c>
      <c r="J235" s="103">
        <f t="shared" si="20"/>
        <v>0</v>
      </c>
      <c r="K235" s="103">
        <f t="shared" si="17"/>
        <v>0</v>
      </c>
      <c r="M235" t="s">
        <v>25</v>
      </c>
    </row>
    <row r="236" spans="1:13" x14ac:dyDescent="0.25">
      <c r="A236" s="103"/>
      <c r="B236" s="18"/>
      <c r="C236" s="18"/>
      <c r="D236" s="18">
        <f t="shared" si="18"/>
        <v>0</v>
      </c>
      <c r="E236" s="103"/>
      <c r="F236" s="103"/>
      <c r="G236" s="36">
        <f t="shared" si="21"/>
        <v>0</v>
      </c>
      <c r="H236" s="103">
        <f t="shared" si="15"/>
        <v>0</v>
      </c>
      <c r="I236" s="103">
        <f t="shared" si="13"/>
        <v>0</v>
      </c>
      <c r="J236" s="103">
        <f t="shared" si="20"/>
        <v>0</v>
      </c>
      <c r="K236" s="103">
        <f t="shared" si="17"/>
        <v>0</v>
      </c>
    </row>
    <row r="237" spans="1:13" x14ac:dyDescent="0.25">
      <c r="A237" s="103"/>
      <c r="B237" s="18"/>
      <c r="C237" s="18"/>
      <c r="D237" s="18">
        <f t="shared" si="18"/>
        <v>0</v>
      </c>
      <c r="E237" s="103"/>
      <c r="F237" s="103"/>
      <c r="G237" s="36">
        <f t="shared" si="21"/>
        <v>0</v>
      </c>
      <c r="H237" s="103">
        <f t="shared" si="15"/>
        <v>0</v>
      </c>
      <c r="I237" s="103">
        <f t="shared" si="13"/>
        <v>0</v>
      </c>
      <c r="J237" s="103">
        <f t="shared" si="20"/>
        <v>0</v>
      </c>
      <c r="K237" s="103">
        <f t="shared" si="17"/>
        <v>0</v>
      </c>
    </row>
    <row r="238" spans="1:13" x14ac:dyDescent="0.25">
      <c r="A238" s="103"/>
      <c r="B238" s="18"/>
      <c r="C238" s="18"/>
      <c r="D238" s="18">
        <f t="shared" si="18"/>
        <v>0</v>
      </c>
      <c r="E238" s="103"/>
      <c r="F238" s="103"/>
      <c r="G238" s="36">
        <f t="shared" si="21"/>
        <v>0</v>
      </c>
      <c r="H238" s="103">
        <f t="shared" si="15"/>
        <v>0</v>
      </c>
      <c r="I238" s="103">
        <f t="shared" si="13"/>
        <v>0</v>
      </c>
      <c r="J238" s="103">
        <f t="shared" si="20"/>
        <v>0</v>
      </c>
      <c r="K238" s="103">
        <f t="shared" si="17"/>
        <v>0</v>
      </c>
    </row>
    <row r="239" spans="1:13" x14ac:dyDescent="0.25">
      <c r="A239" s="103"/>
      <c r="B239" s="18"/>
      <c r="C239" s="18"/>
      <c r="D239" s="18">
        <f t="shared" si="18"/>
        <v>0</v>
      </c>
      <c r="E239" s="103"/>
      <c r="F239" s="103"/>
      <c r="G239" s="36">
        <f t="shared" si="21"/>
        <v>0</v>
      </c>
      <c r="H239" s="103">
        <f t="shared" si="15"/>
        <v>0</v>
      </c>
      <c r="I239" s="103">
        <f t="shared" si="13"/>
        <v>0</v>
      </c>
      <c r="J239" s="103">
        <f t="shared" si="20"/>
        <v>0</v>
      </c>
      <c r="K239" s="103">
        <f t="shared" si="17"/>
        <v>0</v>
      </c>
    </row>
    <row r="240" spans="1:13" x14ac:dyDescent="0.25">
      <c r="A240" s="103"/>
      <c r="B240" s="18"/>
      <c r="C240" s="18"/>
      <c r="D240" s="18">
        <f t="shared" si="18"/>
        <v>0</v>
      </c>
      <c r="E240" s="103"/>
      <c r="F240" s="103"/>
      <c r="G240" s="36">
        <f t="shared" si="21"/>
        <v>0</v>
      </c>
      <c r="H240" s="103">
        <f t="shared" si="15"/>
        <v>0</v>
      </c>
      <c r="I240" s="103">
        <f t="shared" si="13"/>
        <v>0</v>
      </c>
      <c r="J240" s="103">
        <f t="shared" si="20"/>
        <v>0</v>
      </c>
      <c r="K240" s="103">
        <f t="shared" si="17"/>
        <v>0</v>
      </c>
    </row>
    <row r="241" spans="1:13" x14ac:dyDescent="0.25">
      <c r="A241" s="103"/>
      <c r="B241" s="18"/>
      <c r="C241" s="18"/>
      <c r="D241" s="18">
        <f t="shared" si="18"/>
        <v>0</v>
      </c>
      <c r="E241" s="103"/>
      <c r="F241" s="103"/>
      <c r="G241" s="36">
        <f t="shared" si="21"/>
        <v>0</v>
      </c>
      <c r="H241" s="103">
        <f t="shared" si="15"/>
        <v>0</v>
      </c>
      <c r="I241" s="103">
        <f t="shared" si="13"/>
        <v>0</v>
      </c>
      <c r="J241" s="103">
        <f t="shared" si="20"/>
        <v>0</v>
      </c>
      <c r="K241" s="103">
        <f t="shared" si="17"/>
        <v>0</v>
      </c>
    </row>
    <row r="242" spans="1:13" x14ac:dyDescent="0.25">
      <c r="A242" s="103"/>
      <c r="B242" s="18"/>
      <c r="C242" s="18"/>
      <c r="D242" s="18">
        <f t="shared" si="18"/>
        <v>0</v>
      </c>
      <c r="E242" s="103"/>
      <c r="F242" s="103"/>
      <c r="G242" s="36">
        <f t="shared" si="21"/>
        <v>0</v>
      </c>
      <c r="H242" s="103">
        <f t="shared" si="15"/>
        <v>0</v>
      </c>
      <c r="I242" s="103">
        <f t="shared" si="13"/>
        <v>0</v>
      </c>
      <c r="J242" s="103">
        <f t="shared" si="20"/>
        <v>0</v>
      </c>
      <c r="K242" s="103">
        <f t="shared" si="17"/>
        <v>0</v>
      </c>
    </row>
    <row r="243" spans="1:13" x14ac:dyDescent="0.25">
      <c r="A243" s="103"/>
      <c r="B243" s="18"/>
      <c r="C243" s="18"/>
      <c r="D243" s="18">
        <f t="shared" si="18"/>
        <v>0</v>
      </c>
      <c r="E243" s="103"/>
      <c r="F243" s="103"/>
      <c r="G243" s="36">
        <f t="shared" si="21"/>
        <v>0</v>
      </c>
      <c r="H243" s="103">
        <f t="shared" si="15"/>
        <v>0</v>
      </c>
      <c r="I243" s="103">
        <f t="shared" si="13"/>
        <v>0</v>
      </c>
      <c r="J243" s="103">
        <f t="shared" si="20"/>
        <v>0</v>
      </c>
      <c r="K243" s="103">
        <f t="shared" si="17"/>
        <v>0</v>
      </c>
    </row>
    <row r="244" spans="1:13" x14ac:dyDescent="0.25">
      <c r="A244" s="103"/>
      <c r="B244" s="18"/>
      <c r="C244" s="18"/>
      <c r="D244" s="18">
        <f t="shared" si="18"/>
        <v>0</v>
      </c>
      <c r="E244" s="103"/>
      <c r="F244" s="103"/>
      <c r="G244" s="36">
        <f t="shared" si="21"/>
        <v>0</v>
      </c>
      <c r="H244" s="103">
        <f t="shared" si="15"/>
        <v>0</v>
      </c>
      <c r="I244" s="103">
        <f t="shared" si="13"/>
        <v>0</v>
      </c>
      <c r="J244" s="103">
        <f t="shared" si="20"/>
        <v>0</v>
      </c>
      <c r="K244" s="103">
        <f t="shared" si="17"/>
        <v>0</v>
      </c>
    </row>
    <row r="245" spans="1:13" x14ac:dyDescent="0.25">
      <c r="A245" s="103"/>
      <c r="B245" s="18"/>
      <c r="C245" s="18"/>
      <c r="D245" s="18">
        <f t="shared" si="18"/>
        <v>0</v>
      </c>
      <c r="E245" s="103"/>
      <c r="F245" s="103"/>
      <c r="G245" s="36">
        <f t="shared" si="21"/>
        <v>0</v>
      </c>
      <c r="H245" s="103">
        <f t="shared" si="15"/>
        <v>0</v>
      </c>
      <c r="I245" s="103">
        <f t="shared" si="13"/>
        <v>0</v>
      </c>
      <c r="J245" s="103">
        <f t="shared" si="20"/>
        <v>0</v>
      </c>
      <c r="K245" s="103">
        <f t="shared" si="17"/>
        <v>0</v>
      </c>
    </row>
    <row r="246" spans="1:13" x14ac:dyDescent="0.25">
      <c r="A246" s="103"/>
      <c r="B246" s="18"/>
      <c r="C246" s="18"/>
      <c r="D246" s="18">
        <f t="shared" si="18"/>
        <v>0</v>
      </c>
      <c r="E246" s="103"/>
      <c r="F246" s="103"/>
      <c r="G246" s="36">
        <f t="shared" si="21"/>
        <v>0</v>
      </c>
      <c r="H246" s="103">
        <f t="shared" si="15"/>
        <v>0</v>
      </c>
      <c r="I246" s="103">
        <f t="shared" si="13"/>
        <v>0</v>
      </c>
      <c r="J246" s="103">
        <f t="shared" si="20"/>
        <v>0</v>
      </c>
      <c r="K246" s="103">
        <f t="shared" si="17"/>
        <v>0</v>
      </c>
    </row>
    <row r="247" spans="1:13" x14ac:dyDescent="0.25">
      <c r="A247" s="103"/>
      <c r="B247" s="18"/>
      <c r="C247" s="18"/>
      <c r="D247" s="18">
        <f t="shared" si="18"/>
        <v>0</v>
      </c>
      <c r="E247" s="103"/>
      <c r="F247" s="103"/>
      <c r="G247" s="36">
        <f t="shared" si="21"/>
        <v>0</v>
      </c>
      <c r="H247" s="103">
        <f t="shared" si="15"/>
        <v>0</v>
      </c>
      <c r="I247" s="103">
        <f t="shared" si="13"/>
        <v>0</v>
      </c>
      <c r="J247" s="103">
        <f t="shared" si="20"/>
        <v>0</v>
      </c>
      <c r="K247" s="103">
        <f t="shared" si="17"/>
        <v>0</v>
      </c>
    </row>
    <row r="248" spans="1:13" x14ac:dyDescent="0.25">
      <c r="A248" s="103"/>
      <c r="B248" s="18"/>
      <c r="C248" s="18"/>
      <c r="D248" s="18">
        <f t="shared" si="18"/>
        <v>0</v>
      </c>
      <c r="E248" s="103"/>
      <c r="F248" s="103"/>
      <c r="G248" s="36">
        <f t="shared" si="21"/>
        <v>0</v>
      </c>
      <c r="H248" s="103">
        <f t="shared" si="15"/>
        <v>0</v>
      </c>
      <c r="I248" s="103">
        <f t="shared" si="13"/>
        <v>0</v>
      </c>
      <c r="J248" s="103">
        <f t="shared" si="20"/>
        <v>0</v>
      </c>
      <c r="K248" s="103">
        <f t="shared" si="17"/>
        <v>0</v>
      </c>
      <c r="M248" t="s">
        <v>25</v>
      </c>
    </row>
    <row r="249" spans="1:13" x14ac:dyDescent="0.25">
      <c r="A249" s="103"/>
      <c r="B249" s="18"/>
      <c r="C249" s="18"/>
      <c r="D249" s="18">
        <f t="shared" si="18"/>
        <v>0</v>
      </c>
      <c r="E249" s="103"/>
      <c r="F249" s="103"/>
      <c r="G249" s="36">
        <f t="shared" si="21"/>
        <v>0</v>
      </c>
      <c r="H249" s="103">
        <f t="shared" si="15"/>
        <v>0</v>
      </c>
      <c r="I249" s="103">
        <f t="shared" si="13"/>
        <v>0</v>
      </c>
      <c r="J249" s="103">
        <f t="shared" si="20"/>
        <v>0</v>
      </c>
      <c r="K249" s="103">
        <f t="shared" si="17"/>
        <v>0</v>
      </c>
    </row>
    <row r="250" spans="1:13" x14ac:dyDescent="0.25">
      <c r="A250" s="103"/>
      <c r="B250" s="18"/>
      <c r="C250" s="18"/>
      <c r="D250" s="18">
        <f t="shared" si="18"/>
        <v>0</v>
      </c>
      <c r="E250" s="103"/>
      <c r="F250" s="103"/>
      <c r="G250" s="36">
        <f t="shared" si="21"/>
        <v>0</v>
      </c>
      <c r="H250" s="103">
        <f t="shared" si="15"/>
        <v>0</v>
      </c>
      <c r="I250" s="103">
        <f t="shared" si="13"/>
        <v>0</v>
      </c>
      <c r="J250" s="103">
        <f t="shared" si="20"/>
        <v>0</v>
      </c>
      <c r="K250" s="103">
        <f t="shared" si="17"/>
        <v>0</v>
      </c>
    </row>
    <row r="251" spans="1:13" x14ac:dyDescent="0.25">
      <c r="A251" s="103"/>
      <c r="B251" s="18"/>
      <c r="C251" s="18"/>
      <c r="D251" s="18">
        <f t="shared" si="18"/>
        <v>0</v>
      </c>
      <c r="E251" s="103"/>
      <c r="F251" s="103"/>
      <c r="G251" s="36">
        <f t="shared" si="21"/>
        <v>0</v>
      </c>
      <c r="H251" s="103">
        <f t="shared" si="15"/>
        <v>0</v>
      </c>
      <c r="I251" s="103">
        <f t="shared" si="13"/>
        <v>0</v>
      </c>
      <c r="J251" s="103">
        <f t="shared" si="20"/>
        <v>0</v>
      </c>
      <c r="K251" s="103">
        <f t="shared" si="17"/>
        <v>0</v>
      </c>
    </row>
    <row r="252" spans="1:13" x14ac:dyDescent="0.25">
      <c r="A252" s="103"/>
      <c r="B252" s="18"/>
      <c r="C252" s="18"/>
      <c r="D252" s="18">
        <f t="shared" si="18"/>
        <v>0</v>
      </c>
      <c r="E252" s="103"/>
      <c r="F252" s="103"/>
      <c r="G252" s="36">
        <f t="shared" si="21"/>
        <v>0</v>
      </c>
      <c r="H252" s="103">
        <f t="shared" si="15"/>
        <v>0</v>
      </c>
      <c r="I252" s="103">
        <f t="shared" si="13"/>
        <v>0</v>
      </c>
      <c r="J252" s="103">
        <f t="shared" si="20"/>
        <v>0</v>
      </c>
      <c r="K252" s="103">
        <f t="shared" si="17"/>
        <v>0</v>
      </c>
    </row>
    <row r="253" spans="1:13" x14ac:dyDescent="0.25">
      <c r="A253" s="103"/>
      <c r="B253" s="18"/>
      <c r="C253" s="18"/>
      <c r="D253" s="18">
        <f t="shared" si="18"/>
        <v>0</v>
      </c>
      <c r="E253" s="103"/>
      <c r="F253" s="103"/>
      <c r="G253" s="36">
        <f t="shared" si="21"/>
        <v>0</v>
      </c>
      <c r="H253" s="103">
        <f t="shared" si="15"/>
        <v>0</v>
      </c>
      <c r="I253" s="103">
        <f t="shared" si="13"/>
        <v>0</v>
      </c>
      <c r="J253" s="103">
        <f t="shared" si="20"/>
        <v>0</v>
      </c>
      <c r="K253" s="103">
        <f t="shared" si="17"/>
        <v>0</v>
      </c>
    </row>
    <row r="254" spans="1:13" x14ac:dyDescent="0.25">
      <c r="A254" s="103"/>
      <c r="B254" s="18"/>
      <c r="C254" s="18"/>
      <c r="D254" s="18">
        <f t="shared" si="18"/>
        <v>0</v>
      </c>
      <c r="E254" s="103"/>
      <c r="F254" s="103"/>
      <c r="G254" s="36">
        <f t="shared" si="21"/>
        <v>0</v>
      </c>
      <c r="H254" s="103">
        <f t="shared" si="15"/>
        <v>0</v>
      </c>
      <c r="I254" s="103">
        <f t="shared" si="13"/>
        <v>0</v>
      </c>
      <c r="J254" s="103">
        <f t="shared" si="20"/>
        <v>0</v>
      </c>
      <c r="K254" s="103">
        <f t="shared" si="17"/>
        <v>0</v>
      </c>
    </row>
    <row r="255" spans="1:13" x14ac:dyDescent="0.25">
      <c r="A255" s="103"/>
      <c r="B255" s="18"/>
      <c r="C255" s="18"/>
      <c r="D255" s="18">
        <f t="shared" si="18"/>
        <v>0</v>
      </c>
      <c r="E255" s="103"/>
      <c r="F255" s="103"/>
      <c r="G255" s="36">
        <f t="shared" si="21"/>
        <v>0</v>
      </c>
      <c r="H255" s="103">
        <f t="shared" si="15"/>
        <v>0</v>
      </c>
      <c r="I255" s="103">
        <f t="shared" si="13"/>
        <v>0</v>
      </c>
      <c r="J255" s="103">
        <f t="shared" si="20"/>
        <v>0</v>
      </c>
      <c r="K255" s="103">
        <f t="shared" si="17"/>
        <v>0</v>
      </c>
    </row>
    <row r="256" spans="1:13" x14ac:dyDescent="0.25">
      <c r="A256" s="103"/>
      <c r="B256" s="18"/>
      <c r="C256" s="18"/>
      <c r="D256" s="18">
        <f t="shared" si="18"/>
        <v>0</v>
      </c>
      <c r="E256" s="103"/>
      <c r="F256" s="103"/>
      <c r="G256" s="36">
        <f t="shared" si="21"/>
        <v>0</v>
      </c>
      <c r="H256" s="103">
        <f t="shared" si="15"/>
        <v>0</v>
      </c>
      <c r="I256" s="103">
        <f t="shared" si="13"/>
        <v>0</v>
      </c>
      <c r="J256" s="103">
        <f t="shared" si="20"/>
        <v>0</v>
      </c>
      <c r="K256" s="103">
        <f t="shared" si="17"/>
        <v>0</v>
      </c>
    </row>
    <row r="257" spans="1:11" x14ac:dyDescent="0.25">
      <c r="A257" s="103"/>
      <c r="B257" s="18"/>
      <c r="C257" s="18"/>
      <c r="D257" s="18">
        <f t="shared" si="18"/>
        <v>0</v>
      </c>
      <c r="E257" s="103"/>
      <c r="F257" s="103"/>
      <c r="G257" s="36">
        <f t="shared" si="21"/>
        <v>0</v>
      </c>
      <c r="H257" s="103">
        <f t="shared" si="15"/>
        <v>0</v>
      </c>
      <c r="I257" s="103">
        <f t="shared" si="13"/>
        <v>0</v>
      </c>
      <c r="J257" s="103">
        <f t="shared" si="20"/>
        <v>0</v>
      </c>
      <c r="K257" s="103">
        <f t="shared" si="17"/>
        <v>0</v>
      </c>
    </row>
    <row r="258" spans="1:11" x14ac:dyDescent="0.25">
      <c r="A258" s="103"/>
      <c r="B258" s="18"/>
      <c r="C258" s="18"/>
      <c r="D258" s="18">
        <f t="shared" si="18"/>
        <v>0</v>
      </c>
      <c r="E258" s="103"/>
      <c r="F258" s="103"/>
      <c r="G258" s="36">
        <f t="shared" si="21"/>
        <v>0</v>
      </c>
      <c r="H258" s="103">
        <f t="shared" si="15"/>
        <v>0</v>
      </c>
      <c r="I258" s="103">
        <f t="shared" si="13"/>
        <v>0</v>
      </c>
      <c r="J258" s="103">
        <f t="shared" si="20"/>
        <v>0</v>
      </c>
      <c r="K258" s="103">
        <f t="shared" si="17"/>
        <v>0</v>
      </c>
    </row>
    <row r="259" spans="1:11" x14ac:dyDescent="0.25">
      <c r="A259" s="103"/>
      <c r="B259" s="18"/>
      <c r="C259" s="18"/>
      <c r="D259" s="18">
        <f t="shared" si="18"/>
        <v>0</v>
      </c>
      <c r="E259" s="103"/>
      <c r="F259" s="103"/>
      <c r="G259" s="36">
        <f t="shared" si="21"/>
        <v>0</v>
      </c>
      <c r="H259" s="103">
        <f t="shared" si="15"/>
        <v>0</v>
      </c>
      <c r="I259" s="103">
        <f t="shared" si="13"/>
        <v>0</v>
      </c>
      <c r="J259" s="103">
        <f t="shared" si="20"/>
        <v>0</v>
      </c>
      <c r="K259" s="103">
        <f t="shared" si="17"/>
        <v>0</v>
      </c>
    </row>
    <row r="260" spans="1:11" x14ac:dyDescent="0.25">
      <c r="A260" s="103"/>
      <c r="B260" s="18"/>
      <c r="C260" s="18"/>
      <c r="D260" s="18">
        <f t="shared" si="18"/>
        <v>0</v>
      </c>
      <c r="E260" s="103"/>
      <c r="F260" s="103"/>
      <c r="G260" s="36">
        <f t="shared" si="21"/>
        <v>0</v>
      </c>
      <c r="H260" s="103">
        <f t="shared" si="15"/>
        <v>0</v>
      </c>
      <c r="I260" s="103">
        <f t="shared" si="13"/>
        <v>0</v>
      </c>
      <c r="J260" s="103">
        <f t="shared" si="20"/>
        <v>0</v>
      </c>
      <c r="K260" s="103">
        <f t="shared" si="17"/>
        <v>0</v>
      </c>
    </row>
    <row r="261" spans="1:11" x14ac:dyDescent="0.25">
      <c r="A261" s="103" t="s">
        <v>25</v>
      </c>
      <c r="B261" s="18"/>
      <c r="C261" s="18"/>
      <c r="D261" s="18">
        <f t="shared" si="18"/>
        <v>0</v>
      </c>
      <c r="E261" s="103"/>
      <c r="F261" s="103"/>
      <c r="G261" s="36">
        <f t="shared" si="21"/>
        <v>0</v>
      </c>
      <c r="H261" s="103">
        <f t="shared" si="15"/>
        <v>0</v>
      </c>
      <c r="I261" s="103">
        <f t="shared" si="13"/>
        <v>0</v>
      </c>
      <c r="J261" s="103">
        <f t="shared" si="20"/>
        <v>0</v>
      </c>
      <c r="K261" s="103">
        <f t="shared" si="17"/>
        <v>0</v>
      </c>
    </row>
    <row r="262" spans="1:11" x14ac:dyDescent="0.25">
      <c r="A262" s="103"/>
      <c r="B262" s="18"/>
      <c r="C262" s="18"/>
      <c r="D262" s="18">
        <f t="shared" si="18"/>
        <v>0</v>
      </c>
      <c r="E262" s="103"/>
      <c r="F262" s="103"/>
      <c r="G262" s="36">
        <f t="shared" si="21"/>
        <v>0</v>
      </c>
      <c r="H262" s="103">
        <f t="shared" si="15"/>
        <v>0</v>
      </c>
      <c r="I262" s="103">
        <f t="shared" si="13"/>
        <v>0</v>
      </c>
      <c r="J262" s="103">
        <f t="shared" si="20"/>
        <v>0</v>
      </c>
      <c r="K262" s="103">
        <f t="shared" si="17"/>
        <v>0</v>
      </c>
    </row>
    <row r="263" spans="1:11" x14ac:dyDescent="0.25">
      <c r="A263" s="103"/>
      <c r="B263" s="18"/>
      <c r="C263" s="18"/>
      <c r="D263" s="18">
        <f t="shared" si="18"/>
        <v>0</v>
      </c>
      <c r="E263" s="103"/>
      <c r="F263" s="103"/>
      <c r="G263" s="36">
        <f t="shared" si="21"/>
        <v>0</v>
      </c>
      <c r="H263" s="103">
        <f t="shared" si="15"/>
        <v>0</v>
      </c>
      <c r="I263" s="103">
        <f t="shared" si="13"/>
        <v>0</v>
      </c>
      <c r="J263" s="103">
        <f t="shared" si="20"/>
        <v>0</v>
      </c>
      <c r="K263" s="103">
        <f t="shared" si="17"/>
        <v>0</v>
      </c>
    </row>
    <row r="264" spans="1:11" x14ac:dyDescent="0.25">
      <c r="A264" s="103"/>
      <c r="B264" s="18"/>
      <c r="C264" s="18"/>
      <c r="D264" s="18">
        <f t="shared" si="18"/>
        <v>0</v>
      </c>
      <c r="E264" s="103"/>
      <c r="F264" s="103"/>
      <c r="G264" s="36">
        <f t="shared" si="21"/>
        <v>0</v>
      </c>
      <c r="H264" s="103">
        <f t="shared" si="15"/>
        <v>0</v>
      </c>
      <c r="I264" s="103">
        <f t="shared" si="13"/>
        <v>0</v>
      </c>
      <c r="J264" s="103">
        <f t="shared" si="20"/>
        <v>0</v>
      </c>
      <c r="K264" s="103">
        <f t="shared" si="17"/>
        <v>0</v>
      </c>
    </row>
    <row r="265" spans="1:11" x14ac:dyDescent="0.25">
      <c r="A265" s="103"/>
      <c r="B265" s="18"/>
      <c r="C265" s="18"/>
      <c r="D265" s="18">
        <f t="shared" si="18"/>
        <v>0</v>
      </c>
      <c r="E265" s="103"/>
      <c r="F265" s="103"/>
      <c r="G265" s="36">
        <f t="shared" si="21"/>
        <v>0</v>
      </c>
      <c r="H265" s="103">
        <f t="shared" si="15"/>
        <v>0</v>
      </c>
      <c r="I265" s="103">
        <f t="shared" si="13"/>
        <v>0</v>
      </c>
      <c r="J265" s="103">
        <f t="shared" si="20"/>
        <v>0</v>
      </c>
      <c r="K265" s="103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103">
        <f t="shared" si="15"/>
        <v>0</v>
      </c>
      <c r="I266" s="103">
        <f t="shared" si="13"/>
        <v>0</v>
      </c>
      <c r="J266" s="103">
        <f t="shared" si="20"/>
        <v>0</v>
      </c>
      <c r="K266" s="103">
        <f t="shared" si="17"/>
        <v>0</v>
      </c>
    </row>
    <row r="267" spans="1:11" x14ac:dyDescent="0.25">
      <c r="A267" s="11"/>
      <c r="B267" s="29">
        <f>SUM(B2:B266)</f>
        <v>64567</v>
      </c>
      <c r="C267" s="29">
        <f>SUM(C2:C218)</f>
        <v>7906317</v>
      </c>
      <c r="D267" s="29">
        <f>SUM(D2:D205)</f>
        <v>-7785606</v>
      </c>
      <c r="E267" s="11"/>
      <c r="F267" s="11"/>
      <c r="G267" s="11"/>
      <c r="H267" s="11"/>
      <c r="I267" s="29">
        <f>SUM(I2:I266)</f>
        <v>18780044512</v>
      </c>
      <c r="J267" s="29">
        <f>SUM(J2:J266)</f>
        <v>8170811168</v>
      </c>
      <c r="K267" s="29">
        <f>SUM(K2:K266)</f>
        <v>10609233344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20660114.974697471</v>
      </c>
      <c r="J270" s="29">
        <f>J267/G2</f>
        <v>8988791.1639163923</v>
      </c>
      <c r="K270" s="29">
        <f>K267/G2</f>
        <v>11671323.810781078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102">
        <f>D267-D151+D152</f>
        <v>-6588967</v>
      </c>
      <c r="G274" t="s">
        <v>25</v>
      </c>
      <c r="J274">
        <f>J267/I267*1448696</f>
        <v>630297.83812670701</v>
      </c>
      <c r="K274">
        <f>K267/I267*1448696</f>
        <v>818398.16187329299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1134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1135</v>
      </c>
    </row>
    <row r="37" spans="4:17" x14ac:dyDescent="0.25">
      <c r="D37" s="7">
        <v>-65500</v>
      </c>
      <c r="E37" s="41" t="s">
        <v>1150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1247</v>
      </c>
    </row>
    <row r="51" spans="1:18" x14ac:dyDescent="0.25">
      <c r="D51" s="118">
        <v>1000000</v>
      </c>
      <c r="E51" s="41" t="s">
        <v>1249</v>
      </c>
    </row>
    <row r="52" spans="1:18" x14ac:dyDescent="0.25">
      <c r="D52" s="118">
        <v>910500</v>
      </c>
      <c r="E52" s="41" t="s">
        <v>1260</v>
      </c>
    </row>
    <row r="53" spans="1:18" x14ac:dyDescent="0.25">
      <c r="D53" s="118">
        <v>-300000</v>
      </c>
      <c r="E53" s="41" t="s">
        <v>1263</v>
      </c>
    </row>
    <row r="54" spans="1:18" x14ac:dyDescent="0.25">
      <c r="D54" s="118">
        <v>-58500</v>
      </c>
      <c r="E54" s="41" t="s">
        <v>1264</v>
      </c>
    </row>
    <row r="55" spans="1:18" x14ac:dyDescent="0.25">
      <c r="D55" s="118">
        <v>-1500000</v>
      </c>
      <c r="E55" s="41" t="s">
        <v>1267</v>
      </c>
    </row>
    <row r="56" spans="1:18" x14ac:dyDescent="0.25">
      <c r="D56" s="118">
        <v>-61000</v>
      </c>
      <c r="E56" s="41" t="s">
        <v>1271</v>
      </c>
    </row>
    <row r="57" spans="1:18" x14ac:dyDescent="0.25">
      <c r="D57" s="118">
        <v>1000000</v>
      </c>
      <c r="E57" s="41" t="s">
        <v>3690</v>
      </c>
    </row>
    <row r="58" spans="1:18" x14ac:dyDescent="0.25">
      <c r="D58" s="118">
        <v>200000</v>
      </c>
      <c r="E58" s="41" t="s">
        <v>3700</v>
      </c>
    </row>
    <row r="59" spans="1:18" x14ac:dyDescent="0.25">
      <c r="D59" s="118">
        <v>3000000</v>
      </c>
      <c r="E59" s="41" t="s">
        <v>3705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49" workbookViewId="0">
      <selection activeCell="B35" sqref="B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4078</v>
      </c>
      <c r="B3" s="18">
        <v>3000000</v>
      </c>
      <c r="C3" s="18">
        <v>0</v>
      </c>
      <c r="D3" s="121">
        <f t="shared" ref="D3:D28" si="0">B3-C3</f>
        <v>3000000</v>
      </c>
      <c r="E3" s="20" t="s">
        <v>4080</v>
      </c>
      <c r="F3" s="100">
        <v>30</v>
      </c>
      <c r="G3" s="100">
        <f t="shared" ref="G3:G27" si="1">B3*F3</f>
        <v>90000000</v>
      </c>
      <c r="H3" s="100">
        <f t="shared" ref="H3:H27" si="2">C3*F3</f>
        <v>0</v>
      </c>
      <c r="I3" s="100">
        <f t="shared" ref="I3:I27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4086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>
        <v>-33377</v>
      </c>
      <c r="C6" s="18">
        <v>0</v>
      </c>
      <c r="D6" s="117">
        <f t="shared" si="0"/>
        <v>-33377</v>
      </c>
      <c r="E6" s="19" t="s">
        <v>4090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>
        <v>18000000</v>
      </c>
      <c r="C8" s="18">
        <v>0</v>
      </c>
      <c r="D8" s="117">
        <f t="shared" si="0"/>
        <v>18000000</v>
      </c>
      <c r="E8" s="19" t="s">
        <v>4113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-11600</v>
      </c>
      <c r="C10" s="18">
        <v>0</v>
      </c>
      <c r="D10" s="117">
        <f t="shared" si="0"/>
        <v>-11600</v>
      </c>
      <c r="E10" s="19" t="s">
        <v>4116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>
        <v>-3304327</v>
      </c>
      <c r="C11" s="18">
        <v>0</v>
      </c>
      <c r="D11" s="117">
        <f t="shared" si="0"/>
        <v>-3304327</v>
      </c>
      <c r="E11" s="19" t="s">
        <v>4117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>
        <v>-3000900</v>
      </c>
      <c r="C12" s="18">
        <v>0</v>
      </c>
      <c r="D12" s="117">
        <f t="shared" si="0"/>
        <v>-3000900</v>
      </c>
      <c r="E12" s="20" t="s">
        <v>4122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>
        <v>-2760900</v>
      </c>
      <c r="C13" s="18">
        <v>0</v>
      </c>
      <c r="D13" s="117">
        <f t="shared" si="0"/>
        <v>-2760900</v>
      </c>
      <c r="E13" s="20" t="s">
        <v>4127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>
        <v>1000000</v>
      </c>
      <c r="C14" s="18">
        <v>0</v>
      </c>
      <c r="D14" s="117">
        <f t="shared" si="0"/>
        <v>1000000</v>
      </c>
      <c r="E14" s="20" t="s">
        <v>4119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4156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4152</v>
      </c>
      <c r="B17" s="18">
        <v>783000</v>
      </c>
      <c r="C17" s="18">
        <v>0</v>
      </c>
      <c r="D17" s="117">
        <f t="shared" si="0"/>
        <v>783000</v>
      </c>
      <c r="E17" s="20" t="s">
        <v>4160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4169</v>
      </c>
      <c r="B18" s="18">
        <v>-750500</v>
      </c>
      <c r="C18" s="18">
        <v>0</v>
      </c>
      <c r="D18" s="117">
        <f t="shared" si="0"/>
        <v>-750500</v>
      </c>
      <c r="E18" s="20" t="s">
        <v>4170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 t="s">
        <v>4183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 t="s">
        <v>4183</v>
      </c>
      <c r="B20" s="18">
        <v>-99000</v>
      </c>
      <c r="C20" s="18">
        <v>0</v>
      </c>
      <c r="D20" s="117">
        <f t="shared" si="0"/>
        <v>-99000</v>
      </c>
      <c r="E20" s="19" t="s">
        <v>4187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 t="s">
        <v>4188</v>
      </c>
      <c r="B21" s="18">
        <v>-205750</v>
      </c>
      <c r="C21" s="18">
        <v>0</v>
      </c>
      <c r="D21" s="117">
        <f t="shared" si="0"/>
        <v>-205750</v>
      </c>
      <c r="E21" s="19" t="s">
        <v>4189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 t="s">
        <v>4188</v>
      </c>
      <c r="B22" s="18">
        <v>-95000</v>
      </c>
      <c r="C22" s="18">
        <v>0</v>
      </c>
      <c r="D22" s="117">
        <f t="shared" si="0"/>
        <v>-95000</v>
      </c>
      <c r="E22" s="19" t="s">
        <v>4190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9" t="s">
        <v>4213</v>
      </c>
      <c r="B23" s="18">
        <v>48650000</v>
      </c>
      <c r="C23" s="18">
        <v>0</v>
      </c>
      <c r="D23" s="117">
        <f t="shared" si="0"/>
        <v>48650000</v>
      </c>
      <c r="E23" s="19" t="s">
        <v>4214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9" t="s">
        <v>4213</v>
      </c>
      <c r="B24" s="18">
        <v>-3005900</v>
      </c>
      <c r="C24" s="18">
        <v>0</v>
      </c>
      <c r="D24" s="117">
        <f t="shared" si="0"/>
        <v>-3005900</v>
      </c>
      <c r="E24" s="19" t="s">
        <v>4216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9" t="s">
        <v>4221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9" t="s">
        <v>4221</v>
      </c>
      <c r="B26" s="18">
        <v>-12435000</v>
      </c>
      <c r="C26" s="18">
        <v>0</v>
      </c>
      <c r="D26" s="117">
        <f t="shared" si="0"/>
        <v>-12435000</v>
      </c>
      <c r="E26" s="19" t="s">
        <v>3803</v>
      </c>
      <c r="F26" s="100">
        <v>6</v>
      </c>
      <c r="G26" s="100">
        <f t="shared" si="1"/>
        <v>-74610000</v>
      </c>
      <c r="H26" s="100">
        <f t="shared" si="2"/>
        <v>0</v>
      </c>
      <c r="I26" s="100">
        <f t="shared" si="3"/>
        <v>-74610000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80" t="s">
        <v>4238</v>
      </c>
      <c r="B27" s="18">
        <v>-18500</v>
      </c>
      <c r="C27" s="18">
        <v>0</v>
      </c>
      <c r="D27" s="18">
        <f t="shared" ref="D27" si="4">B27-C27</f>
        <v>-18500</v>
      </c>
      <c r="E27" s="180" t="s">
        <v>4239</v>
      </c>
      <c r="F27" s="100">
        <v>3</v>
      </c>
      <c r="G27" s="100">
        <f t="shared" si="1"/>
        <v>-55500</v>
      </c>
      <c r="H27" s="100">
        <f t="shared" si="2"/>
        <v>0</v>
      </c>
      <c r="I27" s="100">
        <f t="shared" si="3"/>
        <v>-55500</v>
      </c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16" t="s">
        <v>4232</v>
      </c>
      <c r="B28" s="18">
        <v>14480</v>
      </c>
      <c r="C28" s="18">
        <v>70874</v>
      </c>
      <c r="D28" s="18">
        <f t="shared" si="0"/>
        <v>-56394</v>
      </c>
      <c r="E28" s="116" t="s">
        <v>695</v>
      </c>
      <c r="F28" s="100">
        <v>0</v>
      </c>
      <c r="G28" s="100">
        <f>B28*F28</f>
        <v>0</v>
      </c>
      <c r="H28" s="100">
        <f>C28*F28</f>
        <v>0</v>
      </c>
      <c r="I28" s="100">
        <f>D28*F28</f>
        <v>0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16" t="s">
        <v>6</v>
      </c>
      <c r="B29" s="117">
        <f>SUM(B2:B28)</f>
        <v>46177</v>
      </c>
      <c r="C29" s="117">
        <f>SUM(C2:C28)</f>
        <v>7906317</v>
      </c>
      <c r="D29" s="117">
        <f>SUM(D2:D28)</f>
        <v>-7860140</v>
      </c>
      <c r="E29" s="116"/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100"/>
      <c r="E30" s="100"/>
      <c r="F30" s="100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 t="s">
        <v>25</v>
      </c>
      <c r="C31" s="100"/>
      <c r="D31" s="100"/>
      <c r="E31" s="100"/>
      <c r="F31" s="100"/>
      <c r="G31" s="100" t="s">
        <v>62</v>
      </c>
      <c r="H31" s="100" t="s">
        <v>36</v>
      </c>
      <c r="I31" s="100" t="s">
        <v>37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 t="s">
        <v>25</v>
      </c>
      <c r="G33" s="100"/>
      <c r="H33" s="100"/>
      <c r="I33" s="100"/>
      <c r="J33" s="100"/>
      <c r="K33" s="100"/>
      <c r="L33" s="100" t="s">
        <v>25</v>
      </c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 t="s">
        <v>25</v>
      </c>
      <c r="D34" s="41"/>
      <c r="E34" s="41" t="s">
        <v>85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00"/>
      <c r="C35" s="100"/>
      <c r="D35" s="42">
        <v>-11953237</v>
      </c>
      <c r="E35" s="41" t="s">
        <v>95</v>
      </c>
      <c r="F35" s="100"/>
      <c r="G35" s="18">
        <v>14480</v>
      </c>
      <c r="H35" s="18">
        <f>G35*H30/G30</f>
        <v>70873.673357292035</v>
      </c>
      <c r="I35" s="18">
        <f>G35*I30/G30</f>
        <v>-56393.673357292035</v>
      </c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42">
        <v>814100</v>
      </c>
      <c r="E36" s="54" t="s">
        <v>4082</v>
      </c>
      <c r="F36" s="100"/>
      <c r="G36" s="9" t="s">
        <v>1039</v>
      </c>
      <c r="H36" s="9" t="s">
        <v>38</v>
      </c>
      <c r="I36" s="9" t="s">
        <v>39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18"/>
      <c r="C37" s="100"/>
      <c r="D37" s="42">
        <v>-80000</v>
      </c>
      <c r="E37" s="41" t="s">
        <v>4084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42">
        <v>-3600000</v>
      </c>
      <c r="E38" s="41" t="s">
        <v>4085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 t="s">
        <v>25</v>
      </c>
      <c r="C39" s="100"/>
      <c r="D39" s="42">
        <v>33377</v>
      </c>
      <c r="E39" s="41" t="s">
        <v>4091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0" x14ac:dyDescent="0.25">
      <c r="A40" s="100"/>
      <c r="B40" s="100"/>
      <c r="C40" s="100"/>
      <c r="D40" s="118">
        <v>-2495233</v>
      </c>
      <c r="E40" s="54" t="s">
        <v>4108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3304327</v>
      </c>
      <c r="E41" s="41" t="s">
        <v>4118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10000</v>
      </c>
      <c r="E42" s="41" t="s">
        <v>4119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3000900</v>
      </c>
      <c r="E43" s="41" t="s">
        <v>4120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2760900</v>
      </c>
      <c r="E44" s="41" t="s">
        <v>4128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-500000</v>
      </c>
      <c r="E45" s="41" t="s">
        <v>4130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-200000</v>
      </c>
      <c r="E46" s="41" t="s">
        <v>1243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642064</v>
      </c>
      <c r="E47" s="41" t="s">
        <v>4139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-1000000</v>
      </c>
      <c r="E48" s="41" t="s">
        <v>4141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200000</v>
      </c>
      <c r="E49" s="41" t="s">
        <v>4142</v>
      </c>
      <c r="F49" s="118" t="s">
        <v>25</v>
      </c>
      <c r="G49" s="41" t="s">
        <v>25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-110000</v>
      </c>
      <c r="E50" s="41" t="s">
        <v>791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-1300000</v>
      </c>
      <c r="E51" s="41" t="s">
        <v>4153</v>
      </c>
      <c r="F51" s="118"/>
      <c r="G51" s="41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-5000</v>
      </c>
      <c r="E52" s="41" t="s">
        <v>4153</v>
      </c>
      <c r="F52" s="118"/>
      <c r="G52" s="4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-50000</v>
      </c>
      <c r="E53" s="41" t="s">
        <v>4158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v>-5000</v>
      </c>
      <c r="E54" s="41" t="s">
        <v>4159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-94056</v>
      </c>
      <c r="E55" s="41" t="s">
        <v>4162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37083</v>
      </c>
      <c r="E56" s="41" t="s">
        <v>4163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-2000000</v>
      </c>
      <c r="E57" s="41" t="s">
        <v>4176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50000</v>
      </c>
      <c r="E58" s="41" t="s">
        <v>4174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/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>
        <v>1223</v>
      </c>
      <c r="E60" s="41" t="s">
        <v>4171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>
        <v>-604742</v>
      </c>
      <c r="E61" s="41" t="s">
        <v>4172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>
        <v>3405686</v>
      </c>
      <c r="E62" s="41" t="s">
        <v>4173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>
        <v>-33237</v>
      </c>
      <c r="E63" s="41" t="s">
        <v>4177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>
        <v>1660000</v>
      </c>
      <c r="E64" s="41" t="s">
        <v>4175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>
        <v>80000</v>
      </c>
      <c r="E65" s="41" t="s">
        <v>4178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>
        <v>3100000</v>
      </c>
      <c r="E66" s="41" t="s">
        <v>4180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>
        <v>-435500</v>
      </c>
      <c r="E67" s="41" t="s">
        <v>4181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v>-700000</v>
      </c>
      <c r="E68" s="41" t="s">
        <v>4182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>
        <v>5000000</v>
      </c>
      <c r="E69" s="41" t="s">
        <v>4186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18">
        <v>99000</v>
      </c>
      <c r="E70" s="41" t="s">
        <v>4187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18">
        <v>-403089</v>
      </c>
      <c r="E71" s="41" t="s">
        <v>4200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18">
        <v>-119170</v>
      </c>
      <c r="E72" s="41" t="s">
        <v>4201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18">
        <v>-3000000</v>
      </c>
      <c r="E73" s="41" t="s">
        <v>4203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18">
        <v>73355</v>
      </c>
      <c r="E74" s="41" t="s">
        <v>4204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18">
        <v>-45600000</v>
      </c>
      <c r="E75" s="41" t="s">
        <v>4205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18">
        <v>5000</v>
      </c>
      <c r="E76" s="41" t="s">
        <v>4217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18">
        <v>1405883</v>
      </c>
      <c r="E77" s="41" t="s">
        <v>4223</v>
      </c>
      <c r="F77" s="100"/>
      <c r="G77" s="100" t="s">
        <v>25</v>
      </c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18">
        <v>938574</v>
      </c>
      <c r="E78" s="41" t="s">
        <v>4224</v>
      </c>
      <c r="F78" s="100"/>
      <c r="G78" s="100"/>
      <c r="H78" s="100"/>
      <c r="I78" s="100"/>
    </row>
    <row r="79" spans="1:20" x14ac:dyDescent="0.25">
      <c r="A79" s="100"/>
      <c r="B79" s="100"/>
      <c r="C79" s="100"/>
      <c r="D79" s="118">
        <v>-420825</v>
      </c>
      <c r="E79" s="41" t="s">
        <v>4225</v>
      </c>
      <c r="F79" s="100"/>
      <c r="G79" s="100"/>
      <c r="H79" s="100"/>
      <c r="I79" s="100"/>
    </row>
    <row r="80" spans="1:20" x14ac:dyDescent="0.25">
      <c r="A80" s="100"/>
      <c r="B80" s="100"/>
      <c r="C80" s="100"/>
      <c r="D80" s="118">
        <v>-160000</v>
      </c>
      <c r="E80" s="41" t="s">
        <v>4226</v>
      </c>
      <c r="F80" s="100"/>
      <c r="G80" s="100"/>
      <c r="H80" s="100"/>
      <c r="I80" s="100"/>
    </row>
    <row r="81" spans="1:9" x14ac:dyDescent="0.25">
      <c r="A81" s="100"/>
      <c r="B81" s="100"/>
      <c r="C81" s="100"/>
      <c r="D81" s="118">
        <v>2260000</v>
      </c>
      <c r="E81" s="41" t="s">
        <v>4229</v>
      </c>
      <c r="F81" s="100"/>
      <c r="G81" s="100"/>
      <c r="H81" s="100"/>
      <c r="I81" s="100"/>
    </row>
    <row r="82" spans="1:9" x14ac:dyDescent="0.25">
      <c r="A82" s="100"/>
      <c r="B82" s="100"/>
      <c r="C82" s="100"/>
      <c r="D82" s="118">
        <v>-150000</v>
      </c>
      <c r="E82" s="41" t="s">
        <v>4233</v>
      </c>
      <c r="F82" s="100"/>
      <c r="G82" s="100"/>
      <c r="H82" s="100"/>
      <c r="I82" s="100"/>
    </row>
    <row r="83" spans="1:9" x14ac:dyDescent="0.25">
      <c r="D83" s="118">
        <v>-150000</v>
      </c>
      <c r="E83" s="41" t="s">
        <v>4234</v>
      </c>
    </row>
    <row r="84" spans="1:9" x14ac:dyDescent="0.25">
      <c r="D84" s="118">
        <v>-150000</v>
      </c>
      <c r="E84" s="41" t="s">
        <v>1244</v>
      </c>
    </row>
    <row r="85" spans="1:9" x14ac:dyDescent="0.25">
      <c r="D85" s="118">
        <v>43500</v>
      </c>
      <c r="E85" s="41" t="s">
        <v>4240</v>
      </c>
    </row>
    <row r="86" spans="1:9" x14ac:dyDescent="0.25">
      <c r="D86" s="118"/>
      <c r="E86" s="41" t="s">
        <v>25</v>
      </c>
    </row>
    <row r="87" spans="1:9" x14ac:dyDescent="0.25">
      <c r="D87" s="118"/>
      <c r="E87" s="100"/>
    </row>
    <row r="88" spans="1:9" x14ac:dyDescent="0.25">
      <c r="D88" s="118">
        <f>SUM(D35:D87)</f>
        <v>-46394117</v>
      </c>
      <c r="E88" s="100" t="s">
        <v>6</v>
      </c>
    </row>
    <row r="89" spans="1:9" x14ac:dyDescent="0.25">
      <c r="D89" s="118"/>
      <c r="E89" s="41"/>
    </row>
    <row r="90" spans="1:9" x14ac:dyDescent="0.25">
      <c r="D90" s="100"/>
      <c r="E90" s="100"/>
    </row>
    <row r="91" spans="1:9" x14ac:dyDescent="0.25">
      <c r="D91" s="100"/>
      <c r="E91" s="100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 x14ac:dyDescent="0.25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Q1" activePane="topRight" state="frozen"/>
      <selection pane="topRight" activeCell="AC3" sqref="AC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25.5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x14ac:dyDescent="0.25">
      <c r="A2" s="90" t="s">
        <v>967</v>
      </c>
      <c r="B2" s="91">
        <f>$S2/(1+($B$1-$O2+$P2)/36500)^$N2</f>
        <v>74943.663792918102</v>
      </c>
      <c r="C2" s="91">
        <f t="shared" ref="C2:C27" si="0">$S2/(1+($AC$3-$O2+$P2)/36500)^$N2</f>
        <v>78855.895316782378</v>
      </c>
      <c r="D2" s="91">
        <f t="shared" ref="D2:D27" si="1">$S2/(1+($AC$4-$O2+$P2)/36500)^$N2</f>
        <v>79303.034710646461</v>
      </c>
      <c r="E2" s="91">
        <f t="shared" ref="E2:E27" si="2">$S2/(1+($AC$5-$O2+$P2)/36500)^$N2</f>
        <v>79752.715708883188</v>
      </c>
      <c r="F2" s="91">
        <f t="shared" ref="F2:F27" si="3">$S2/(1+($AC$6-$O2+$P2)/36500)^$N2</f>
        <v>80204.952793440723</v>
      </c>
      <c r="G2" s="91">
        <f t="shared" ref="G2:G27" si="4">$S2/(1+($AC$7-$O2+$P2)/36500)^$N2</f>
        <v>80659.760528963001</v>
      </c>
      <c r="H2" s="91">
        <f t="shared" ref="H2:H27" si="5">$S2/(1+($AC$8-$O2+$P2)/36500)^$N2</f>
        <v>81117.153563306536</v>
      </c>
      <c r="I2" s="91">
        <f t="shared" ref="I2:I27" si="6">$S2/(1+($AC$9-$O2+$P2)/36500)^$N2</f>
        <v>81577.146627978029</v>
      </c>
      <c r="J2" s="91">
        <f t="shared" ref="J2:J27" si="7">$S2/(1+($AC$10-$O2+$P2)/36500)^$N2</f>
        <v>82039.754538637702</v>
      </c>
      <c r="K2" s="91">
        <f t="shared" ref="K2:K27" si="8">$S2/(1+($AC$11-$O2+$P2)/36500)^$N2</f>
        <v>82504.992195587183</v>
      </c>
      <c r="L2" s="91">
        <f t="shared" ref="L2:L27" si="9">$S2/(1+($AC$5-$O2+$P2)/36500)^$N2</f>
        <v>79752.715708883188</v>
      </c>
      <c r="M2" s="90" t="s">
        <v>993</v>
      </c>
      <c r="N2" s="90">
        <f>601-$AD$19</f>
        <v>413</v>
      </c>
      <c r="O2" s="90">
        <v>0</v>
      </c>
      <c r="P2" s="90">
        <v>0</v>
      </c>
      <c r="Q2" s="90">
        <v>0</v>
      </c>
      <c r="R2" s="90">
        <f t="shared" ref="R2:R27" si="10">N2/30.5</f>
        <v>13.540983606557377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87330.234375</v>
      </c>
      <c r="AA2" s="3">
        <f t="shared" ref="AA2:AA49" si="12">Y2+AA1*(1+$AC$2/1200)</f>
        <v>1185</v>
      </c>
      <c r="AB2" t="s">
        <v>61</v>
      </c>
      <c r="AC2">
        <v>25.5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x14ac:dyDescent="0.25">
      <c r="A3" s="94" t="s">
        <v>968</v>
      </c>
      <c r="B3" s="91">
        <f t="shared" ref="B3:B27" si="13">$S3/(1+($B$1-$O3+$P3)/36500)^$N3</f>
        <v>76423.595926465176</v>
      </c>
      <c r="C3" s="95">
        <f t="shared" si="0"/>
        <v>80136.147617179129</v>
      </c>
      <c r="D3" s="95">
        <f t="shared" si="1"/>
        <v>80559.658512500697</v>
      </c>
      <c r="E3" s="95">
        <f t="shared" si="2"/>
        <v>80985.413461533506</v>
      </c>
      <c r="F3" s="95">
        <f t="shared" si="3"/>
        <v>81413.424385804377</v>
      </c>
      <c r="G3" s="95">
        <f t="shared" si="4"/>
        <v>81843.70327031723</v>
      </c>
      <c r="H3" s="95">
        <f t="shared" si="5"/>
        <v>82276.262163933061</v>
      </c>
      <c r="I3" s="95">
        <f t="shared" si="6"/>
        <v>82711.113179674125</v>
      </c>
      <c r="J3" s="95">
        <f t="shared" si="7"/>
        <v>83148.268495089695</v>
      </c>
      <c r="K3" s="95">
        <f t="shared" si="8"/>
        <v>83587.740352606241</v>
      </c>
      <c r="L3" s="95">
        <f t="shared" si="9"/>
        <v>80985.413461533506</v>
      </c>
      <c r="M3" s="94" t="s">
        <v>994</v>
      </c>
      <c r="N3" s="94">
        <f>573-$AD$19</f>
        <v>385</v>
      </c>
      <c r="O3" s="94">
        <v>0</v>
      </c>
      <c r="P3" s="94">
        <v>0</v>
      </c>
      <c r="Q3" s="94">
        <v>0</v>
      </c>
      <c r="R3" s="94">
        <f t="shared" si="10"/>
        <v>12.622950819672131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89199.647204589855</v>
      </c>
      <c r="AA3" s="3">
        <f t="shared" si="12"/>
        <v>2395.1812500000001</v>
      </c>
      <c r="AC3">
        <v>21</v>
      </c>
    </row>
    <row r="4" spans="1:39" x14ac:dyDescent="0.25">
      <c r="A4" s="90" t="s">
        <v>969</v>
      </c>
      <c r="B4" s="91">
        <f t="shared" si="13"/>
        <v>93384.77632302494</v>
      </c>
      <c r="C4" s="91">
        <f t="shared" si="0"/>
        <v>94519.185783233028</v>
      </c>
      <c r="D4" s="91">
        <f t="shared" si="1"/>
        <v>94646.087571998869</v>
      </c>
      <c r="E4" s="91">
        <f t="shared" si="2"/>
        <v>94773.161480464652</v>
      </c>
      <c r="F4" s="91">
        <f t="shared" si="3"/>
        <v>94900.407744444252</v>
      </c>
      <c r="G4" s="91">
        <f t="shared" si="4"/>
        <v>95027.826600071901</v>
      </c>
      <c r="H4" s="91">
        <f t="shared" si="5"/>
        <v>95155.418283814535</v>
      </c>
      <c r="I4" s="91">
        <f t="shared" si="6"/>
        <v>95283.183032461689</v>
      </c>
      <c r="J4" s="91">
        <f t="shared" si="7"/>
        <v>95411.121083132486</v>
      </c>
      <c r="K4" s="91">
        <f t="shared" si="8"/>
        <v>95539.232673277875</v>
      </c>
      <c r="L4" s="91">
        <f t="shared" si="9"/>
        <v>94773.161480464652</v>
      </c>
      <c r="M4" s="90" t="s">
        <v>996</v>
      </c>
      <c r="N4" s="90">
        <f>286-$AD$19</f>
        <v>98</v>
      </c>
      <c r="O4" s="90">
        <v>0</v>
      </c>
      <c r="P4" s="90">
        <v>0</v>
      </c>
      <c r="Q4" s="90">
        <v>0</v>
      </c>
      <c r="R4" s="90">
        <f t="shared" si="10"/>
        <v>3.2131147540983607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91109.077152563113</v>
      </c>
      <c r="AA4" s="3">
        <f t="shared" si="12"/>
        <v>3631.0788515624999</v>
      </c>
      <c r="AC4">
        <v>20.5</v>
      </c>
    </row>
    <row r="5" spans="1:39" x14ac:dyDescent="0.25">
      <c r="A5" s="92" t="s">
        <v>985</v>
      </c>
      <c r="B5" s="91">
        <f>$S5/(1+($B$1-$O5+$P5)/36500)^$N5</f>
        <v>82180.961341394766</v>
      </c>
      <c r="C5" s="93">
        <f t="shared" si="0"/>
        <v>85076.039882861965</v>
      </c>
      <c r="D5" s="93">
        <f t="shared" si="1"/>
        <v>85403.968685835731</v>
      </c>
      <c r="E5" s="93">
        <f t="shared" si="2"/>
        <v>85733.166018404489</v>
      </c>
      <c r="F5" s="93">
        <f t="shared" si="3"/>
        <v>86063.636805107337</v>
      </c>
      <c r="G5" s="93">
        <f t="shared" si="4"/>
        <v>86395.38598965283</v>
      </c>
      <c r="H5" s="93">
        <f t="shared" si="5"/>
        <v>86728.418535025558</v>
      </c>
      <c r="I5" s="93">
        <f t="shared" si="6"/>
        <v>87062.739423533203</v>
      </c>
      <c r="J5" s="93">
        <f t="shared" si="7"/>
        <v>87398.353656899839</v>
      </c>
      <c r="K5" s="93">
        <f t="shared" si="8"/>
        <v>87735.266256346091</v>
      </c>
      <c r="L5" s="93">
        <f t="shared" si="9"/>
        <v>85733.166018404489</v>
      </c>
      <c r="M5" s="92" t="s">
        <v>995</v>
      </c>
      <c r="N5" s="92">
        <f>469-$AD$19</f>
        <v>281</v>
      </c>
      <c r="O5" s="92">
        <v>0</v>
      </c>
      <c r="P5" s="92">
        <v>0</v>
      </c>
      <c r="Q5" s="92">
        <v>0</v>
      </c>
      <c r="R5" s="92">
        <f t="shared" si="10"/>
        <v>9.2131147540983598</v>
      </c>
      <c r="S5" s="93">
        <v>100000</v>
      </c>
      <c r="T5" s="93">
        <v>78300</v>
      </c>
      <c r="U5" s="93">
        <f t="shared" si="11"/>
        <v>99999.999999999985</v>
      </c>
      <c r="W5">
        <v>97</v>
      </c>
      <c r="X5">
        <v>4</v>
      </c>
      <c r="Y5">
        <f t="shared" si="15"/>
        <v>1185</v>
      </c>
      <c r="Z5" s="3">
        <f t="shared" si="14"/>
        <v>93059.380835360178</v>
      </c>
      <c r="AA5" s="3">
        <f t="shared" si="12"/>
        <v>4893.2392771582035</v>
      </c>
      <c r="AB5" t="s">
        <v>951</v>
      </c>
      <c r="AC5">
        <v>20</v>
      </c>
    </row>
    <row r="6" spans="1:39" x14ac:dyDescent="0.25">
      <c r="A6" s="94" t="s">
        <v>986</v>
      </c>
      <c r="B6" s="91">
        <f t="shared" si="13"/>
        <v>82180.961341394766</v>
      </c>
      <c r="C6" s="95">
        <f t="shared" si="0"/>
        <v>85076.039882861965</v>
      </c>
      <c r="D6" s="95">
        <f t="shared" si="1"/>
        <v>85403.968685835731</v>
      </c>
      <c r="E6" s="95">
        <f t="shared" si="2"/>
        <v>85733.166018404489</v>
      </c>
      <c r="F6" s="95">
        <f t="shared" si="3"/>
        <v>86063.636805107337</v>
      </c>
      <c r="G6" s="95">
        <f t="shared" si="4"/>
        <v>86395.38598965283</v>
      </c>
      <c r="H6" s="95">
        <f t="shared" si="5"/>
        <v>86728.418535025558</v>
      </c>
      <c r="I6" s="95">
        <f t="shared" si="6"/>
        <v>87062.739423533203</v>
      </c>
      <c r="J6" s="95">
        <f t="shared" si="7"/>
        <v>87398.353656899839</v>
      </c>
      <c r="K6" s="95">
        <f t="shared" si="8"/>
        <v>87735.266256346091</v>
      </c>
      <c r="L6" s="95">
        <f t="shared" si="9"/>
        <v>85733.166018404489</v>
      </c>
      <c r="M6" s="94" t="s">
        <v>995</v>
      </c>
      <c r="N6" s="94">
        <f>469-$AD$19</f>
        <v>281</v>
      </c>
      <c r="O6" s="94">
        <v>0</v>
      </c>
      <c r="P6" s="94">
        <v>0</v>
      </c>
      <c r="Q6" s="94">
        <v>0</v>
      </c>
      <c r="R6" s="94">
        <f t="shared" si="10"/>
        <v>9.2131147540983598</v>
      </c>
      <c r="S6" s="95">
        <v>100000</v>
      </c>
      <c r="T6" s="95">
        <v>77700</v>
      </c>
      <c r="U6" s="95">
        <f t="shared" si="11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95051.433206367117</v>
      </c>
      <c r="AA6" s="3">
        <f t="shared" si="12"/>
        <v>6182.2206117978158</v>
      </c>
      <c r="AC6">
        <v>19.5</v>
      </c>
    </row>
    <row r="7" spans="1:39" x14ac:dyDescent="0.25">
      <c r="A7" s="90" t="s">
        <v>987</v>
      </c>
      <c r="B7" s="91">
        <f t="shared" si="13"/>
        <v>73852.552484543136</v>
      </c>
      <c r="C7" s="91">
        <f t="shared" si="0"/>
        <v>77909.146506958306</v>
      </c>
      <c r="D7" s="91">
        <f t="shared" si="1"/>
        <v>78373.447254762941</v>
      </c>
      <c r="E7" s="91">
        <f t="shared" si="2"/>
        <v>78840.52142361342</v>
      </c>
      <c r="F7" s="91">
        <f t="shared" si="3"/>
        <v>79310.385618388173</v>
      </c>
      <c r="G7" s="91">
        <f t="shared" si="4"/>
        <v>79783.056543588536</v>
      </c>
      <c r="H7" s="91">
        <f t="shared" si="5"/>
        <v>80258.55100398256</v>
      </c>
      <c r="I7" s="91">
        <f t="shared" si="6"/>
        <v>80736.885905168092</v>
      </c>
      <c r="J7" s="91">
        <f t="shared" si="7"/>
        <v>81218.078254204433</v>
      </c>
      <c r="K7" s="91">
        <f t="shared" si="8"/>
        <v>81702.145160228756</v>
      </c>
      <c r="L7" s="91">
        <f t="shared" si="9"/>
        <v>78840.52142361342</v>
      </c>
      <c r="M7" s="90" t="s">
        <v>999</v>
      </c>
      <c r="N7" s="90">
        <f>622-$AD$19</f>
        <v>434</v>
      </c>
      <c r="O7" s="90">
        <v>0</v>
      </c>
      <c r="P7" s="90">
        <v>0</v>
      </c>
      <c r="Q7" s="90">
        <v>0</v>
      </c>
      <c r="R7" s="90">
        <f t="shared" si="10"/>
        <v>14.229508196721312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97086.127948440917</v>
      </c>
      <c r="AA7" s="3">
        <f t="shared" si="12"/>
        <v>7498.5927997985191</v>
      </c>
      <c r="AC7">
        <v>19</v>
      </c>
    </row>
    <row r="8" spans="1:39" x14ac:dyDescent="0.25">
      <c r="A8" s="94" t="s">
        <v>988</v>
      </c>
      <c r="B8" s="91">
        <f t="shared" si="13"/>
        <v>70673.610313901052</v>
      </c>
      <c r="C8" s="95">
        <f t="shared" si="0"/>
        <v>75136.556189935611</v>
      </c>
      <c r="D8" s="95">
        <f t="shared" si="1"/>
        <v>75649.555020282278</v>
      </c>
      <c r="E8" s="95">
        <f t="shared" si="2"/>
        <v>76166.063472922935</v>
      </c>
      <c r="F8" s="95">
        <f t="shared" si="3"/>
        <v>76686.105607089819</v>
      </c>
      <c r="G8" s="95">
        <f t="shared" si="4"/>
        <v>77209.705647254435</v>
      </c>
      <c r="H8" s="95">
        <f t="shared" si="5"/>
        <v>77736.887984314468</v>
      </c>
      <c r="I8" s="95">
        <f t="shared" si="6"/>
        <v>78267.677176694779</v>
      </c>
      <c r="J8" s="95">
        <f t="shared" si="7"/>
        <v>78802.09795152866</v>
      </c>
      <c r="K8" s="95">
        <f t="shared" si="8"/>
        <v>79340.175205825712</v>
      </c>
      <c r="L8" s="95">
        <f t="shared" si="9"/>
        <v>76166.063472922935</v>
      </c>
      <c r="M8" s="94" t="s">
        <v>1000</v>
      </c>
      <c r="N8" s="94">
        <f>685-$AD$19</f>
        <v>497</v>
      </c>
      <c r="O8" s="94">
        <v>0</v>
      </c>
      <c r="P8" s="94">
        <v>0</v>
      </c>
      <c r="Q8" s="94">
        <v>0</v>
      </c>
      <c r="R8" s="94">
        <f t="shared" si="10"/>
        <v>16.295081967213115</v>
      </c>
      <c r="S8" s="95">
        <v>100000</v>
      </c>
      <c r="T8" s="95">
        <v>70000</v>
      </c>
      <c r="U8" s="95">
        <f t="shared" si="11"/>
        <v>99999.999999999985</v>
      </c>
      <c r="W8">
        <v>97</v>
      </c>
      <c r="X8">
        <v>7</v>
      </c>
      <c r="Y8">
        <f t="shared" si="15"/>
        <v>1185</v>
      </c>
      <c r="Z8" s="3">
        <f t="shared" si="14"/>
        <v>99164.377874837242</v>
      </c>
      <c r="AA8" s="3">
        <f t="shared" si="12"/>
        <v>8842.9378967942375</v>
      </c>
      <c r="AC8">
        <v>18.5</v>
      </c>
    </row>
    <row r="9" spans="1:39" x14ac:dyDescent="0.25">
      <c r="A9" s="90" t="s">
        <v>989</v>
      </c>
      <c r="B9" s="91">
        <f t="shared" si="13"/>
        <v>72069.220584388124</v>
      </c>
      <c r="C9" s="91">
        <f t="shared" si="0"/>
        <v>76356.423753668467</v>
      </c>
      <c r="D9" s="91">
        <f t="shared" si="1"/>
        <v>76848.286339771192</v>
      </c>
      <c r="E9" s="91">
        <f t="shared" si="2"/>
        <v>77343.324139682081</v>
      </c>
      <c r="F9" s="91">
        <f t="shared" si="3"/>
        <v>77841.557694865944</v>
      </c>
      <c r="G9" s="91">
        <f t="shared" si="4"/>
        <v>78343.007679937044</v>
      </c>
      <c r="H9" s="91">
        <f t="shared" si="5"/>
        <v>78847.694903571537</v>
      </c>
      <c r="I9" s="91">
        <f t="shared" si="6"/>
        <v>79355.640309336217</v>
      </c>
      <c r="J9" s="91">
        <f t="shared" si="7"/>
        <v>79866.864976591227</v>
      </c>
      <c r="K9" s="91">
        <f t="shared" si="8"/>
        <v>80381.390121379285</v>
      </c>
      <c r="L9" s="91">
        <f t="shared" si="9"/>
        <v>77343.324139682081</v>
      </c>
      <c r="M9" s="90" t="s">
        <v>1001</v>
      </c>
      <c r="N9" s="90">
        <f>657-$AD$19</f>
        <v>469</v>
      </c>
      <c r="O9" s="90">
        <v>0</v>
      </c>
      <c r="P9" s="90">
        <v>0</v>
      </c>
      <c r="Q9" s="90">
        <v>0</v>
      </c>
      <c r="R9" s="90">
        <f t="shared" si="10"/>
        <v>15.377049180327869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101287.11533872048</v>
      </c>
      <c r="AA9" s="3">
        <f t="shared" si="12"/>
        <v>10215.850327101116</v>
      </c>
      <c r="AC9">
        <v>18</v>
      </c>
    </row>
    <row r="10" spans="1:39" x14ac:dyDescent="0.25">
      <c r="A10" s="92" t="s">
        <v>990</v>
      </c>
      <c r="B10" s="91">
        <f t="shared" si="13"/>
        <v>72069.220584388124</v>
      </c>
      <c r="C10" s="93">
        <f t="shared" si="0"/>
        <v>76356.423753668467</v>
      </c>
      <c r="D10" s="93">
        <f t="shared" si="1"/>
        <v>76848.286339771192</v>
      </c>
      <c r="E10" s="93">
        <f t="shared" si="2"/>
        <v>77343.324139682081</v>
      </c>
      <c r="F10" s="93">
        <f t="shared" si="3"/>
        <v>77841.557694865944</v>
      </c>
      <c r="G10" s="93">
        <f t="shared" si="4"/>
        <v>78343.007679937044</v>
      </c>
      <c r="H10" s="93">
        <f t="shared" si="5"/>
        <v>78847.694903571537</v>
      </c>
      <c r="I10" s="93">
        <f t="shared" si="6"/>
        <v>79355.640309336217</v>
      </c>
      <c r="J10" s="93">
        <f t="shared" si="7"/>
        <v>79866.864976591227</v>
      </c>
      <c r="K10" s="93">
        <f t="shared" si="8"/>
        <v>80381.390121379285</v>
      </c>
      <c r="L10" s="93">
        <f t="shared" si="9"/>
        <v>77343.324139682081</v>
      </c>
      <c r="M10" s="92" t="s">
        <v>1001</v>
      </c>
      <c r="N10" s="92">
        <f>657-$AD$19</f>
        <v>469</v>
      </c>
      <c r="O10" s="92">
        <v>0</v>
      </c>
      <c r="P10" s="92">
        <v>0</v>
      </c>
      <c r="Q10" s="92">
        <v>0</v>
      </c>
      <c r="R10" s="92">
        <f t="shared" si="10"/>
        <v>15.377049180327869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103455.29265143997</v>
      </c>
      <c r="AA10" s="3">
        <f t="shared" si="12"/>
        <v>11617.937146552014</v>
      </c>
      <c r="AC10">
        <v>17.5</v>
      </c>
      <c r="AF10" s="26"/>
    </row>
    <row r="11" spans="1:39" x14ac:dyDescent="0.25">
      <c r="A11" s="94" t="s">
        <v>991</v>
      </c>
      <c r="B11" s="91">
        <f t="shared" si="13"/>
        <v>74943.663792918102</v>
      </c>
      <c r="C11" s="95">
        <f t="shared" si="0"/>
        <v>78855.895316782378</v>
      </c>
      <c r="D11" s="95">
        <f t="shared" si="1"/>
        <v>79303.034710646461</v>
      </c>
      <c r="E11" s="95">
        <f t="shared" si="2"/>
        <v>79752.715708883188</v>
      </c>
      <c r="F11" s="95">
        <f t="shared" si="3"/>
        <v>80204.952793440723</v>
      </c>
      <c r="G11" s="95">
        <f>$S11/(1+($AC$7-$O11+$P11)/36500)^$N11</f>
        <v>80659.760528963001</v>
      </c>
      <c r="H11" s="95">
        <f t="shared" si="5"/>
        <v>81117.153563306536</v>
      </c>
      <c r="I11" s="95">
        <f t="shared" si="6"/>
        <v>81577.146627978029</v>
      </c>
      <c r="J11" s="95">
        <f t="shared" si="7"/>
        <v>82039.754538637702</v>
      </c>
      <c r="K11" s="95">
        <f t="shared" si="8"/>
        <v>82504.992195587183</v>
      </c>
      <c r="L11" s="95">
        <f t="shared" si="9"/>
        <v>79752.715708883188</v>
      </c>
      <c r="M11" s="94" t="s">
        <v>993</v>
      </c>
      <c r="N11" s="94">
        <f>601-$AD$19</f>
        <v>413</v>
      </c>
      <c r="O11" s="94">
        <v>0</v>
      </c>
      <c r="P11" s="94">
        <v>0</v>
      </c>
      <c r="Q11" s="94">
        <v>0</v>
      </c>
      <c r="R11" s="94">
        <f t="shared" si="10"/>
        <v>13.540983606557377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105669.88250975987</v>
      </c>
      <c r="AA11" s="3">
        <f t="shared" si="12"/>
        <v>13049.818310916244</v>
      </c>
      <c r="AC11">
        <v>17</v>
      </c>
      <c r="AF11" s="26"/>
    </row>
    <row r="12" spans="1:39" x14ac:dyDescent="0.25">
      <c r="A12" s="169" t="s">
        <v>3885</v>
      </c>
      <c r="B12" s="91">
        <f t="shared" si="13"/>
        <v>79749.705942434171</v>
      </c>
      <c r="C12" s="171">
        <f t="shared" si="0"/>
        <v>82997.694607257217</v>
      </c>
      <c r="D12" s="171">
        <f t="shared" si="1"/>
        <v>83366.676404077953</v>
      </c>
      <c r="E12" s="171">
        <f t="shared" si="2"/>
        <v>83737.30366404583</v>
      </c>
      <c r="F12" s="171">
        <f t="shared" si="3"/>
        <v>84109.583747741519</v>
      </c>
      <c r="G12" s="171">
        <f t="shared" si="4"/>
        <v>84483.524048755033</v>
      </c>
      <c r="H12" s="171">
        <f t="shared" si="5"/>
        <v>84859.13199386996</v>
      </c>
      <c r="I12" s="171">
        <f t="shared" si="6"/>
        <v>85236.415043180983</v>
      </c>
      <c r="J12" s="171">
        <f t="shared" si="7"/>
        <v>85615.38069026389</v>
      </c>
      <c r="K12" s="171">
        <f t="shared" si="8"/>
        <v>85996.036462330929</v>
      </c>
      <c r="L12" s="171">
        <f t="shared" si="9"/>
        <v>83737.30366404583</v>
      </c>
      <c r="M12" s="169" t="s">
        <v>3886</v>
      </c>
      <c r="N12" s="169">
        <f>512-$AD$19</f>
        <v>324</v>
      </c>
      <c r="O12" s="169">
        <v>0</v>
      </c>
      <c r="P12" s="169">
        <v>0</v>
      </c>
      <c r="Q12" s="169">
        <v>0</v>
      </c>
      <c r="R12" s="169">
        <f t="shared" si="10"/>
        <v>10.622950819672131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107931.87843223443</v>
      </c>
      <c r="AA12" s="3">
        <f t="shared" si="12"/>
        <v>14512.126950023214</v>
      </c>
      <c r="AF12" s="26"/>
    </row>
    <row r="13" spans="1:39" x14ac:dyDescent="0.25">
      <c r="A13" s="94" t="s">
        <v>3940</v>
      </c>
      <c r="B13" s="91">
        <f t="shared" si="13"/>
        <v>61589.423369482909</v>
      </c>
      <c r="C13" s="95">
        <f>$S13/(1+($AC$3-$O13+$P13)/36500)^$N13</f>
        <v>67087.472949693649</v>
      </c>
      <c r="D13" s="95">
        <f t="shared" si="1"/>
        <v>67727.938931197947</v>
      </c>
      <c r="E13" s="95">
        <f t="shared" si="2"/>
        <v>68374.528162882998</v>
      </c>
      <c r="F13" s="95">
        <f t="shared" si="3"/>
        <v>69027.299271854616</v>
      </c>
      <c r="G13" s="95">
        <f t="shared" si="4"/>
        <v>69686.311447327244</v>
      </c>
      <c r="H13" s="95">
        <f t="shared" si="5"/>
        <v>70351.624446083908</v>
      </c>
      <c r="I13" s="95">
        <f t="shared" si="6"/>
        <v>71023.298597870104</v>
      </c>
      <c r="J13" s="95">
        <f t="shared" si="7"/>
        <v>71701.394810931131</v>
      </c>
      <c r="K13" s="95">
        <f t="shared" si="8"/>
        <v>72385.974577576009</v>
      </c>
      <c r="L13" s="95">
        <f t="shared" si="9"/>
        <v>68374.528162882998</v>
      </c>
      <c r="M13" s="94" t="s">
        <v>3941</v>
      </c>
      <c r="N13" s="94">
        <f>882-$AD$19</f>
        <v>694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110242.29520492445</v>
      </c>
      <c r="AA13" s="3">
        <f t="shared" si="12"/>
        <v>16005.509647711207</v>
      </c>
      <c r="AF13" s="26"/>
    </row>
    <row r="14" spans="1:39" x14ac:dyDescent="0.25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112602.16933665487</v>
      </c>
      <c r="AA14" s="3">
        <f t="shared" si="12"/>
        <v>17530.62672772507</v>
      </c>
      <c r="AF14" s="26"/>
    </row>
    <row r="15" spans="1:39" x14ac:dyDescent="0.25">
      <c r="A15" s="90" t="s">
        <v>1005</v>
      </c>
      <c r="B15" s="91">
        <f t="shared" si="13"/>
        <v>74126.473816773156</v>
      </c>
      <c r="C15" s="91">
        <f t="shared" si="0"/>
        <v>86038.925123509136</v>
      </c>
      <c r="D15" s="91">
        <f t="shared" si="1"/>
        <v>87475.566036696357</v>
      </c>
      <c r="E15" s="91">
        <f t="shared" si="2"/>
        <v>88936.215533743452</v>
      </c>
      <c r="F15" s="91">
        <f t="shared" si="3"/>
        <v>90421.275173834001</v>
      </c>
      <c r="G15" s="91">
        <f t="shared" si="4"/>
        <v>91931.153238210391</v>
      </c>
      <c r="H15" s="91">
        <f t="shared" si="5"/>
        <v>93466.264842725519</v>
      </c>
      <c r="I15" s="91">
        <f t="shared" si="6"/>
        <v>95027.032052209936</v>
      </c>
      <c r="J15" s="91">
        <f t="shared" si="7"/>
        <v>96613.883997197874</v>
      </c>
      <c r="K15" s="91">
        <f t="shared" si="8"/>
        <v>98227.256991992268</v>
      </c>
      <c r="L15" s="91">
        <f t="shared" si="9"/>
        <v>88936.215533743452</v>
      </c>
      <c r="M15" s="90" t="s">
        <v>1006</v>
      </c>
      <c r="N15" s="90">
        <f>1397-$AD$19</f>
        <v>1209</v>
      </c>
      <c r="O15" s="90">
        <v>17</v>
      </c>
      <c r="P15" s="90">
        <f>$AI$2</f>
        <v>0.54</v>
      </c>
      <c r="Q15" s="90">
        <v>6</v>
      </c>
      <c r="R15" s="90">
        <f t="shared" si="10"/>
        <v>39.639344262295083</v>
      </c>
      <c r="S15" s="91">
        <v>100000</v>
      </c>
      <c r="T15" s="91">
        <v>96000</v>
      </c>
      <c r="U15" s="91">
        <f t="shared" si="11"/>
        <v>172452.47066375968</v>
      </c>
      <c r="W15">
        <v>98</v>
      </c>
      <c r="X15">
        <v>2</v>
      </c>
      <c r="Y15">
        <f t="shared" si="15"/>
        <v>1185</v>
      </c>
      <c r="Z15" s="3">
        <f t="shared" si="14"/>
        <v>115012.55952401765</v>
      </c>
      <c r="AA15" s="3">
        <f t="shared" si="12"/>
        <v>19088.152545689227</v>
      </c>
      <c r="AC15" s="85">
        <f>AE2*((1+$AC$2/36500)^365)</f>
        <v>129034.67311861938</v>
      </c>
      <c r="AD15">
        <v>21.4</v>
      </c>
      <c r="AF15" s="26"/>
    </row>
    <row r="16" spans="1:39" x14ac:dyDescent="0.25">
      <c r="A16" s="92" t="s">
        <v>962</v>
      </c>
      <c r="B16" s="91">
        <f t="shared" si="13"/>
        <v>94965.37627117474</v>
      </c>
      <c r="C16" s="93">
        <f t="shared" si="0"/>
        <v>99470.887949883167</v>
      </c>
      <c r="D16" s="93">
        <f>$S16/(1+($AC$4-$O16+$P16)/36500)^$N16</f>
        <v>99984.549142150514</v>
      </c>
      <c r="E16" s="93">
        <f t="shared" si="2"/>
        <v>100500.86993845004</v>
      </c>
      <c r="F16" s="93">
        <f t="shared" si="3"/>
        <v>101019.86414624297</v>
      </c>
      <c r="G16" s="93">
        <f t="shared" si="4"/>
        <v>101541.54564485328</v>
      </c>
      <c r="H16" s="93">
        <f t="shared" si="5"/>
        <v>102065.92838586112</v>
      </c>
      <c r="I16" s="93">
        <f t="shared" si="6"/>
        <v>102593.02639345564</v>
      </c>
      <c r="J16" s="93">
        <f t="shared" si="7"/>
        <v>103122.85376484996</v>
      </c>
      <c r="K16" s="93">
        <f t="shared" si="8"/>
        <v>103655.42467063207</v>
      </c>
      <c r="L16" s="93">
        <f t="shared" si="9"/>
        <v>100500.86993845004</v>
      </c>
      <c r="M16" s="92" t="s">
        <v>977</v>
      </c>
      <c r="N16" s="92">
        <f>564-$AD$19</f>
        <v>376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12.327868852459016</v>
      </c>
      <c r="S16" s="93">
        <v>100000</v>
      </c>
      <c r="T16" s="93">
        <v>100000</v>
      </c>
      <c r="U16" s="93">
        <f t="shared" si="11"/>
        <v>123483.25740195028</v>
      </c>
      <c r="W16">
        <v>98</v>
      </c>
      <c r="X16">
        <v>3</v>
      </c>
      <c r="Y16">
        <f t="shared" si="15"/>
        <v>1185</v>
      </c>
      <c r="Z16" s="3">
        <f t="shared" si="14"/>
        <v>117474.54712632866</v>
      </c>
      <c r="AA16" s="3">
        <f t="shared" si="12"/>
        <v>20678.775787285122</v>
      </c>
      <c r="AF16" s="26"/>
    </row>
    <row r="17" spans="1:32" x14ac:dyDescent="0.25">
      <c r="A17" s="94" t="s">
        <v>963</v>
      </c>
      <c r="B17" s="91">
        <f t="shared" si="13"/>
        <v>89779.102560758765</v>
      </c>
      <c r="C17" s="95">
        <f t="shared" si="0"/>
        <v>94235.219023585552</v>
      </c>
      <c r="D17" s="95">
        <f t="shared" si="1"/>
        <v>94743.834621633869</v>
      </c>
      <c r="E17" s="95">
        <f t="shared" si="2"/>
        <v>95255.202392747145</v>
      </c>
      <c r="F17" s="95">
        <f t="shared" si="3"/>
        <v>95769.337267209237</v>
      </c>
      <c r="G17" s="95">
        <f t="shared" si="4"/>
        <v>96286.254256542088</v>
      </c>
      <c r="H17" s="95">
        <f t="shared" si="5"/>
        <v>96805.968453882</v>
      </c>
      <c r="I17" s="95">
        <f t="shared" si="6"/>
        <v>97328.495034474356</v>
      </c>
      <c r="J17" s="95">
        <f t="shared" si="7"/>
        <v>97853.849256105008</v>
      </c>
      <c r="K17" s="95">
        <f t="shared" si="8"/>
        <v>98382.046459526231</v>
      </c>
      <c r="L17" s="95">
        <f t="shared" si="9"/>
        <v>95255.202392747145</v>
      </c>
      <c r="M17" s="94" t="s">
        <v>978</v>
      </c>
      <c r="N17" s="94">
        <f>581-$AD$19</f>
        <v>393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12.885245901639344</v>
      </c>
      <c r="S17" s="95">
        <v>100000</v>
      </c>
      <c r="T17" s="95">
        <v>92000</v>
      </c>
      <c r="U17" s="95">
        <f t="shared" si="11"/>
        <v>118133.81617145138</v>
      </c>
      <c r="W17">
        <v>98</v>
      </c>
      <c r="X17">
        <v>4</v>
      </c>
      <c r="Y17">
        <f t="shared" si="15"/>
        <v>1185</v>
      </c>
      <c r="Z17" s="3">
        <f t="shared" si="14"/>
        <v>119989.23665075164</v>
      </c>
      <c r="AA17" s="3">
        <f t="shared" si="12"/>
        <v>22303.199772764929</v>
      </c>
      <c r="AF17" s="26"/>
    </row>
    <row r="18" spans="1:32" x14ac:dyDescent="0.25">
      <c r="A18" s="90" t="s">
        <v>956</v>
      </c>
      <c r="B18" s="91">
        <f t="shared" si="13"/>
        <v>94069.380941867072</v>
      </c>
      <c r="C18" s="91">
        <f t="shared" si="0"/>
        <v>99374.094716286389</v>
      </c>
      <c r="D18" s="91">
        <f t="shared" si="1"/>
        <v>99981.714004619163</v>
      </c>
      <c r="E18" s="91">
        <f t="shared" si="2"/>
        <v>100593.05695903927</v>
      </c>
      <c r="F18" s="91">
        <f t="shared" si="3"/>
        <v>101208.14645073281</v>
      </c>
      <c r="G18" s="91">
        <f t="shared" si="4"/>
        <v>101827.00549166763</v>
      </c>
      <c r="H18" s="91">
        <f t="shared" si="5"/>
        <v>102449.65723548397</v>
      </c>
      <c r="I18" s="91">
        <f t="shared" si="6"/>
        <v>103076.12497833929</v>
      </c>
      <c r="J18" s="91">
        <f t="shared" si="7"/>
        <v>103706.43215983071</v>
      </c>
      <c r="K18" s="91">
        <f t="shared" si="8"/>
        <v>104340.60236384404</v>
      </c>
      <c r="L18" s="91">
        <f t="shared" si="9"/>
        <v>100593.05695903927</v>
      </c>
      <c r="M18" s="90" t="s">
        <v>979</v>
      </c>
      <c r="N18" s="90">
        <f>633-$AD$19</f>
        <v>445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14.590163934426229</v>
      </c>
      <c r="S18" s="91">
        <v>100000</v>
      </c>
      <c r="T18" s="91">
        <v>100000</v>
      </c>
      <c r="U18" s="91">
        <f t="shared" si="11"/>
        <v>128356.87469074281</v>
      </c>
      <c r="W18">
        <v>98</v>
      </c>
      <c r="X18">
        <v>5</v>
      </c>
      <c r="Y18">
        <f t="shared" si="15"/>
        <v>1185</v>
      </c>
      <c r="Z18" s="3">
        <f t="shared" si="14"/>
        <v>122557.7562478068</v>
      </c>
      <c r="AA18" s="3">
        <f t="shared" si="12"/>
        <v>23962.142767936184</v>
      </c>
      <c r="AC18" t="s">
        <v>1003</v>
      </c>
      <c r="AD18" t="s">
        <v>1042</v>
      </c>
      <c r="AF18" s="26"/>
    </row>
    <row r="19" spans="1:32" x14ac:dyDescent="0.25">
      <c r="A19" s="92" t="s">
        <v>949</v>
      </c>
      <c r="B19" s="91">
        <f t="shared" si="13"/>
        <v>93194.642229653182</v>
      </c>
      <c r="C19" s="93">
        <f t="shared" si="0"/>
        <v>99278.796433602562</v>
      </c>
      <c r="D19" s="93">
        <f t="shared" si="1"/>
        <v>99978.920034690775</v>
      </c>
      <c r="E19" s="93">
        <f t="shared" si="2"/>
        <v>100683.99066701226</v>
      </c>
      <c r="F19" s="93">
        <f t="shared" si="3"/>
        <v>101394.04335448901</v>
      </c>
      <c r="G19" s="93">
        <f t="shared" si="4"/>
        <v>102109.11336947612</v>
      </c>
      <c r="H19" s="93">
        <f t="shared" si="5"/>
        <v>102829.23623455282</v>
      </c>
      <c r="I19" s="93">
        <f t="shared" si="6"/>
        <v>103554.44772426726</v>
      </c>
      <c r="J19" s="93">
        <f t="shared" si="7"/>
        <v>104284.7838669772</v>
      </c>
      <c r="K19" s="93">
        <f t="shared" si="8"/>
        <v>105020.28094661237</v>
      </c>
      <c r="L19" s="93">
        <f t="shared" si="9"/>
        <v>100683.99066701226</v>
      </c>
      <c r="M19" s="92" t="s">
        <v>980</v>
      </c>
      <c r="N19" s="92">
        <f>701-$AD$19</f>
        <v>513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16.819672131147541</v>
      </c>
      <c r="S19" s="93">
        <v>100000</v>
      </c>
      <c r="T19" s="93">
        <v>100000</v>
      </c>
      <c r="U19" s="93">
        <f t="shared" si="11"/>
        <v>133348.01411244966</v>
      </c>
      <c r="W19">
        <v>98</v>
      </c>
      <c r="X19">
        <v>6</v>
      </c>
      <c r="Y19">
        <f t="shared" si="15"/>
        <v>1185</v>
      </c>
      <c r="Z19" s="3">
        <f t="shared" si="14"/>
        <v>125181.25821748642</v>
      </c>
      <c r="AA19" s="3">
        <f t="shared" si="12"/>
        <v>25656.338301754829</v>
      </c>
      <c r="AC19" t="s">
        <v>1051</v>
      </c>
      <c r="AD19">
        <v>188</v>
      </c>
      <c r="AF19" s="26"/>
    </row>
    <row r="20" spans="1:32" x14ac:dyDescent="0.25">
      <c r="A20" s="94" t="s">
        <v>964</v>
      </c>
      <c r="B20" s="91">
        <f t="shared" si="13"/>
        <v>88819.402354475824</v>
      </c>
      <c r="C20" s="95">
        <f t="shared" si="0"/>
        <v>94932.864287801363</v>
      </c>
      <c r="D20" s="95">
        <f t="shared" si="1"/>
        <v>95637.647869462991</v>
      </c>
      <c r="E20" s="95">
        <f t="shared" si="2"/>
        <v>96347.673540781849</v>
      </c>
      <c r="F20" s="95">
        <f t="shared" si="3"/>
        <v>97062.980364365765</v>
      </c>
      <c r="G20" s="95">
        <f t="shared" si="4"/>
        <v>97783.607694418853</v>
      </c>
      <c r="H20" s="95">
        <f t="shared" si="5"/>
        <v>98509.595178982592</v>
      </c>
      <c r="I20" s="95">
        <f t="shared" si="6"/>
        <v>99240.982762063606</v>
      </c>
      <c r="J20" s="95">
        <f t="shared" si="7"/>
        <v>99977.810685933378</v>
      </c>
      <c r="K20" s="95">
        <f t="shared" si="8"/>
        <v>100720.11949326954</v>
      </c>
      <c r="L20" s="95">
        <f t="shared" si="9"/>
        <v>96347.673540781849</v>
      </c>
      <c r="M20" s="94" t="s">
        <v>1004</v>
      </c>
      <c r="N20" s="94">
        <f>728-$AD$19</f>
        <v>540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17.704918032786885</v>
      </c>
      <c r="S20" s="95">
        <v>100000</v>
      </c>
      <c r="T20" s="95">
        <v>95000</v>
      </c>
      <c r="U20" s="95">
        <f t="shared" si="11"/>
        <v>129506.83682152402</v>
      </c>
      <c r="W20">
        <v>98</v>
      </c>
      <c r="X20" s="9">
        <v>7</v>
      </c>
      <c r="Y20">
        <f t="shared" si="15"/>
        <v>1185</v>
      </c>
      <c r="Z20" s="3">
        <f t="shared" si="14"/>
        <v>127860.9195262045</v>
      </c>
      <c r="AA20" s="3">
        <f t="shared" si="12"/>
        <v>27386.53549066712</v>
      </c>
      <c r="AF20" s="26"/>
    </row>
    <row r="21" spans="1:32" x14ac:dyDescent="0.25">
      <c r="A21" s="90" t="s">
        <v>965</v>
      </c>
      <c r="B21" s="91">
        <f t="shared" si="13"/>
        <v>87589.49792371584</v>
      </c>
      <c r="C21" s="91">
        <f t="shared" si="0"/>
        <v>92962.518385395073</v>
      </c>
      <c r="D21" s="91">
        <f t="shared" si="1"/>
        <v>93579.549175580425</v>
      </c>
      <c r="E21" s="91">
        <f t="shared" si="2"/>
        <v>94200.683990682635</v>
      </c>
      <c r="F21" s="91">
        <f t="shared" si="3"/>
        <v>94825.950184339948</v>
      </c>
      <c r="G21" s="91">
        <f t="shared" si="4"/>
        <v>95455.375292927682</v>
      </c>
      <c r="H21" s="91">
        <f t="shared" si="5"/>
        <v>96088.987036699895</v>
      </c>
      <c r="I21" s="91">
        <f t="shared" si="6"/>
        <v>96726.813321080743</v>
      </c>
      <c r="J21" s="91">
        <f t="shared" si="7"/>
        <v>97368.882237883838</v>
      </c>
      <c r="K21" s="91">
        <f t="shared" si="8"/>
        <v>98015.222066530288</v>
      </c>
      <c r="L21" s="91">
        <f t="shared" si="9"/>
        <v>94200.683990682635</v>
      </c>
      <c r="M21" s="90" t="s">
        <v>981</v>
      </c>
      <c r="N21" s="90">
        <f>671-$AD$19</f>
        <v>483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15.836065573770492</v>
      </c>
      <c r="S21" s="91">
        <v>100000</v>
      </c>
      <c r="T21" s="91">
        <v>90600</v>
      </c>
      <c r="U21" s="91">
        <f t="shared" si="11"/>
        <v>122729.36452569935</v>
      </c>
      <c r="W21">
        <v>98</v>
      </c>
      <c r="X21">
        <v>8</v>
      </c>
      <c r="Y21">
        <f t="shared" si="15"/>
        <v>1185</v>
      </c>
      <c r="Z21" s="3">
        <f t="shared" si="14"/>
        <v>130597.94233481232</v>
      </c>
      <c r="AA21" s="3">
        <f t="shared" si="12"/>
        <v>29153.499369843797</v>
      </c>
      <c r="AE21" s="25"/>
      <c r="AF21" s="26"/>
    </row>
    <row r="22" spans="1:32" x14ac:dyDescent="0.25">
      <c r="A22" s="92" t="s">
        <v>966</v>
      </c>
      <c r="B22" s="91">
        <f t="shared" si="13"/>
        <v>78581.902917346495</v>
      </c>
      <c r="C22" s="93">
        <f t="shared" si="0"/>
        <v>86693.425174785458</v>
      </c>
      <c r="D22" s="93">
        <f>$S22/(1+($AC$4-$O22+$P22)/36500)^$N22</f>
        <v>87644.948212925883</v>
      </c>
      <c r="E22" s="93">
        <f t="shared" si="2"/>
        <v>88606.928152122127</v>
      </c>
      <c r="F22" s="93">
        <f t="shared" si="3"/>
        <v>89579.480055608554</v>
      </c>
      <c r="G22" s="93">
        <f t="shared" si="4"/>
        <v>90562.720254347529</v>
      </c>
      <c r="H22" s="93">
        <f t="shared" si="5"/>
        <v>91556.766360927635</v>
      </c>
      <c r="I22" s="93">
        <f t="shared" si="6"/>
        <v>92561.737283844734</v>
      </c>
      <c r="J22" s="93">
        <f t="shared" si="7"/>
        <v>93577.753241650658</v>
      </c>
      <c r="K22" s="93">
        <f t="shared" si="8"/>
        <v>94604.935777532257</v>
      </c>
      <c r="L22" s="93">
        <f t="shared" si="9"/>
        <v>88606.928152122127</v>
      </c>
      <c r="M22" s="92" t="s">
        <v>982</v>
      </c>
      <c r="N22" s="92">
        <f>985-$AD$19</f>
        <v>797</v>
      </c>
      <c r="O22" s="92">
        <v>15</v>
      </c>
      <c r="P22" s="92">
        <f>$AI$2</f>
        <v>0.54</v>
      </c>
      <c r="Q22" s="92">
        <v>6</v>
      </c>
      <c r="R22" s="92">
        <f t="shared" si="10"/>
        <v>26.131147540983605</v>
      </c>
      <c r="S22" s="93">
        <v>100000</v>
      </c>
      <c r="T22" s="93">
        <v>85800</v>
      </c>
      <c r="U22" s="93">
        <f t="shared" si="11"/>
        <v>137106.1218976641</v>
      </c>
      <c r="W22">
        <v>98</v>
      </c>
      <c r="X22" s="9">
        <v>9</v>
      </c>
      <c r="Y22">
        <f t="shared" si="15"/>
        <v>1185</v>
      </c>
      <c r="Z22" s="3">
        <f t="shared" si="14"/>
        <v>133393.55453791691</v>
      </c>
      <c r="AA22" s="3">
        <f t="shared" si="12"/>
        <v>30958.01123145298</v>
      </c>
      <c r="AE22" s="25"/>
      <c r="AF22" s="26"/>
    </row>
    <row r="23" spans="1:32" x14ac:dyDescent="0.25">
      <c r="A23" s="94" t="s">
        <v>940</v>
      </c>
      <c r="B23" s="91">
        <f t="shared" si="13"/>
        <v>88495.579312119677</v>
      </c>
      <c r="C23" s="95">
        <f t="shared" si="0"/>
        <v>90424.405882274994</v>
      </c>
      <c r="D23" s="95">
        <f t="shared" si="1"/>
        <v>90641.313295864427</v>
      </c>
      <c r="E23" s="95">
        <f t="shared" si="2"/>
        <v>90858.744000973369</v>
      </c>
      <c r="F23" s="95">
        <f t="shared" si="3"/>
        <v>91076.699267243632</v>
      </c>
      <c r="G23" s="95">
        <f t="shared" si="4"/>
        <v>91295.180367404639</v>
      </c>
      <c r="H23" s="95">
        <f t="shared" si="5"/>
        <v>91514.188577301713</v>
      </c>
      <c r="I23" s="95">
        <f t="shared" si="6"/>
        <v>91733.725175884989</v>
      </c>
      <c r="J23" s="95">
        <f t="shared" si="7"/>
        <v>91953.791445229042</v>
      </c>
      <c r="K23" s="95">
        <f t="shared" si="8"/>
        <v>92174.388670542859</v>
      </c>
      <c r="L23" s="95">
        <f t="shared" si="9"/>
        <v>90858.744000973369</v>
      </c>
      <c r="M23" s="94" t="s">
        <v>983</v>
      </c>
      <c r="N23" s="94">
        <f>363-$AD$19</f>
        <v>175</v>
      </c>
      <c r="O23" s="94">
        <v>0</v>
      </c>
      <c r="P23" s="94">
        <v>0</v>
      </c>
      <c r="Q23" s="94">
        <v>0</v>
      </c>
      <c r="R23" s="94">
        <f t="shared" si="10"/>
        <v>5.7377049180327866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136249.0103147442</v>
      </c>
      <c r="AA23" s="3">
        <f t="shared" si="12"/>
        <v>32800.868970121359</v>
      </c>
      <c r="AC23" t="s">
        <v>952</v>
      </c>
      <c r="AD23" t="s">
        <v>1052</v>
      </c>
      <c r="AE23" s="25"/>
      <c r="AF23" s="26"/>
    </row>
    <row r="24" spans="1:32" x14ac:dyDescent="0.25">
      <c r="A24" s="90" t="s">
        <v>971</v>
      </c>
      <c r="B24" s="91">
        <f>$S24/(1+($B$1-$O24+$P24)/36500)^$N24</f>
        <v>83607.751047892132</v>
      </c>
      <c r="C24" s="91">
        <f t="shared" si="0"/>
        <v>95537.576583056987</v>
      </c>
      <c r="D24" s="91">
        <f t="shared" si="1"/>
        <v>96964.122228943001</v>
      </c>
      <c r="E24" s="91">
        <f t="shared" si="2"/>
        <v>98411.988714573468</v>
      </c>
      <c r="F24" s="91">
        <f t="shared" si="3"/>
        <v>99881.494995216737</v>
      </c>
      <c r="G24" s="91">
        <f t="shared" si="4"/>
        <v>101372.96480207368</v>
      </c>
      <c r="H24" s="91">
        <f t="shared" si="5"/>
        <v>102886.7267139294</v>
      </c>
      <c r="I24" s="91">
        <f t="shared" si="6"/>
        <v>104423.11422975954</v>
      </c>
      <c r="J24" s="91">
        <f t="shared" si="7"/>
        <v>105982.46584247674</v>
      </c>
      <c r="K24" s="91">
        <f t="shared" si="8"/>
        <v>107565.12511383477</v>
      </c>
      <c r="L24" s="91">
        <f t="shared" si="9"/>
        <v>98411.988714573468</v>
      </c>
      <c r="M24" s="90" t="s">
        <v>974</v>
      </c>
      <c r="N24" s="90">
        <f>1270-$AD$19</f>
        <v>1082</v>
      </c>
      <c r="O24" s="90">
        <v>20</v>
      </c>
      <c r="P24" s="90">
        <f>$AI$2</f>
        <v>0.54</v>
      </c>
      <c r="Q24" s="90">
        <v>6</v>
      </c>
      <c r="R24" s="90">
        <f t="shared" si="10"/>
        <v>35.475409836065573</v>
      </c>
      <c r="S24" s="91">
        <v>100000</v>
      </c>
      <c r="T24" s="91">
        <v>100000</v>
      </c>
      <c r="U24" s="91">
        <f t="shared" si="11"/>
        <v>178001.16751333608</v>
      </c>
      <c r="W24">
        <v>98</v>
      </c>
      <c r="X24">
        <v>11</v>
      </c>
      <c r="Y24">
        <f t="shared" si="15"/>
        <v>1185</v>
      </c>
      <c r="Z24" s="3">
        <f t="shared" si="14"/>
        <v>139165.5906917942</v>
      </c>
      <c r="AA24" s="3">
        <f t="shared" si="12"/>
        <v>34682.88743573644</v>
      </c>
      <c r="AC24">
        <v>85600</v>
      </c>
      <c r="AD24">
        <v>980</v>
      </c>
      <c r="AE24" s="3">
        <f>AC24*(1+AC2/36500)^AD24</f>
        <v>169712.15015605942</v>
      </c>
      <c r="AF24" s="26"/>
    </row>
    <row r="25" spans="1:32" x14ac:dyDescent="0.25">
      <c r="A25" s="92" t="s">
        <v>975</v>
      </c>
      <c r="B25" s="91">
        <f t="shared" si="13"/>
        <v>98190.668974013388</v>
      </c>
      <c r="C25" s="93">
        <f t="shared" si="0"/>
        <v>100220.82025755117</v>
      </c>
      <c r="D25" s="93">
        <f t="shared" si="1"/>
        <v>100448.98357180864</v>
      </c>
      <c r="E25" s="93">
        <f t="shared" si="2"/>
        <v>100677.66946033083</v>
      </c>
      <c r="F25" s="93">
        <f t="shared" si="3"/>
        <v>100906.87912718237</v>
      </c>
      <c r="G25" s="93">
        <f t="shared" si="4"/>
        <v>101136.61377921182</v>
      </c>
      <c r="H25" s="93">
        <f t="shared" si="5"/>
        <v>101366.87462607384</v>
      </c>
      <c r="I25" s="93">
        <f t="shared" si="6"/>
        <v>101597.6628802225</v>
      </c>
      <c r="J25" s="93">
        <f t="shared" si="7"/>
        <v>101828.97975692186</v>
      </c>
      <c r="K25" s="93">
        <f t="shared" si="8"/>
        <v>102060.82647425406</v>
      </c>
      <c r="L25" s="93">
        <f t="shared" si="9"/>
        <v>100677.66946033083</v>
      </c>
      <c r="M25" s="92" t="s">
        <v>976</v>
      </c>
      <c r="N25" s="92">
        <f>354-$AD$19</f>
        <v>166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5.442622950819672</v>
      </c>
      <c r="S25" s="93">
        <v>100000</v>
      </c>
      <c r="T25" s="93">
        <v>103000</v>
      </c>
      <c r="U25" s="93">
        <f t="shared" si="11"/>
        <v>110260.23018708757</v>
      </c>
      <c r="W25">
        <v>98</v>
      </c>
      <c r="X25">
        <v>12</v>
      </c>
      <c r="Y25">
        <f t="shared" si="15"/>
        <v>1185</v>
      </c>
      <c r="Z25" s="3">
        <f t="shared" si="14"/>
        <v>142144.60411754044</v>
      </c>
      <c r="AA25" s="3">
        <f t="shared" si="12"/>
        <v>36604.898793745837</v>
      </c>
      <c r="AE25" s="25"/>
      <c r="AF25" s="26"/>
    </row>
    <row r="26" spans="1:32" x14ac:dyDescent="0.25">
      <c r="A26" s="94" t="s">
        <v>997</v>
      </c>
      <c r="B26" s="91">
        <f t="shared" si="13"/>
        <v>93019.093986610358</v>
      </c>
      <c r="C26" s="95">
        <f t="shared" si="0"/>
        <v>100000</v>
      </c>
      <c r="D26" s="95">
        <f t="shared" si="1"/>
        <v>100807.35678528047</v>
      </c>
      <c r="E26" s="95">
        <f t="shared" si="2"/>
        <v>101621.24301443403</v>
      </c>
      <c r="F26" s="95">
        <f t="shared" si="3"/>
        <v>102441.71158444461</v>
      </c>
      <c r="G26" s="95">
        <f t="shared" si="4"/>
        <v>103268.81582153156</v>
      </c>
      <c r="H26" s="95">
        <f t="shared" si="5"/>
        <v>104102.60948471907</v>
      </c>
      <c r="I26" s="95">
        <f t="shared" si="6"/>
        <v>104943.14676926777</v>
      </c>
      <c r="J26" s="95">
        <f t="shared" si="7"/>
        <v>105790.48231027788</v>
      </c>
      <c r="K26" s="95">
        <f t="shared" si="8"/>
        <v>106644.67118623322</v>
      </c>
      <c r="L26" s="95">
        <f t="shared" si="9"/>
        <v>101621.24301443403</v>
      </c>
      <c r="M26" s="94" t="s">
        <v>998</v>
      </c>
      <c r="N26" s="94">
        <f>775-$AD$19</f>
        <v>587</v>
      </c>
      <c r="O26" s="94">
        <v>21</v>
      </c>
      <c r="P26" s="94">
        <v>0</v>
      </c>
      <c r="Q26" s="94">
        <v>1</v>
      </c>
      <c r="R26" s="94">
        <f t="shared" si="10"/>
        <v>19.245901639344261</v>
      </c>
      <c r="S26" s="95">
        <v>100000</v>
      </c>
      <c r="T26" s="95">
        <v>104000</v>
      </c>
      <c r="U26" s="95">
        <f t="shared" si="11"/>
        <v>140156.19624908964</v>
      </c>
      <c r="W26">
        <v>99</v>
      </c>
      <c r="X26">
        <v>1</v>
      </c>
      <c r="Y26">
        <f t="shared" si="15"/>
        <v>1185</v>
      </c>
      <c r="Z26" s="3">
        <f t="shared" si="14"/>
        <v>145187.38704943156</v>
      </c>
      <c r="AA26" s="3">
        <f t="shared" si="12"/>
        <v>38567.752893112935</v>
      </c>
      <c r="AE26" s="25"/>
      <c r="AF26" s="26"/>
    </row>
    <row r="27" spans="1:32" x14ac:dyDescent="0.25">
      <c r="A27" s="90" t="s">
        <v>1046</v>
      </c>
      <c r="B27" s="91">
        <f t="shared" si="13"/>
        <v>75347.972536183035</v>
      </c>
      <c r="C27" s="91">
        <f t="shared" si="0"/>
        <v>86748.108636407531</v>
      </c>
      <c r="D27" s="91">
        <f t="shared" si="1"/>
        <v>88116.897204866895</v>
      </c>
      <c r="E27" s="91">
        <f t="shared" si="2"/>
        <v>89507.302926824341</v>
      </c>
      <c r="F27" s="91">
        <f t="shared" si="3"/>
        <v>90919.667503105622</v>
      </c>
      <c r="G27" s="91">
        <f t="shared" si="4"/>
        <v>92354.338040646617</v>
      </c>
      <c r="H27" s="91">
        <f t="shared" si="5"/>
        <v>93811.667138034303</v>
      </c>
      <c r="I27" s="91">
        <f t="shared" si="6"/>
        <v>95292.012972335448</v>
      </c>
      <c r="J27" s="91">
        <f t="shared" si="7"/>
        <v>96795.739387720358</v>
      </c>
      <c r="K27" s="91">
        <f t="shared" si="8"/>
        <v>98323.215984904673</v>
      </c>
      <c r="L27" s="91">
        <f t="shared" si="9"/>
        <v>89507.302926824341</v>
      </c>
      <c r="M27" s="90" t="s">
        <v>1047</v>
      </c>
      <c r="N27" s="90">
        <f>1331-$AD$19</f>
        <v>1143</v>
      </c>
      <c r="O27" s="90">
        <v>17</v>
      </c>
      <c r="P27" s="90">
        <f>AI2</f>
        <v>0.54</v>
      </c>
      <c r="Q27" s="90">
        <v>6</v>
      </c>
      <c r="R27" s="90">
        <f t="shared" si="10"/>
        <v>37.475409836065573</v>
      </c>
      <c r="S27" s="91">
        <v>100000</v>
      </c>
      <c r="T27" s="91"/>
      <c r="U27" s="91">
        <f t="shared" si="11"/>
        <v>167397.70592444457</v>
      </c>
      <c r="W27">
        <v>99</v>
      </c>
      <c r="X27">
        <v>2</v>
      </c>
      <c r="Y27">
        <f t="shared" si="15"/>
        <v>1185</v>
      </c>
      <c r="Z27" s="3">
        <f t="shared" si="14"/>
        <v>148295.30455345847</v>
      </c>
      <c r="AA27" s="3">
        <f t="shared" si="12"/>
        <v>40572.317642091584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151469.75091655596</v>
      </c>
      <c r="AA28" s="3">
        <f t="shared" si="12"/>
        <v>42619.479391986031</v>
      </c>
      <c r="AC28" s="85">
        <f>AD28*((1+$AC$2/36500)^30)</f>
        <v>10211726.116520446</v>
      </c>
      <c r="AD28" s="3">
        <v>10000000</v>
      </c>
      <c r="AE28" s="25"/>
      <c r="AF28" s="26"/>
    </row>
    <row r="29" spans="1:32" x14ac:dyDescent="0.25">
      <c r="A29" s="25"/>
      <c r="B29" s="179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154712.1502721135</v>
      </c>
      <c r="AA29" s="3">
        <f t="shared" si="12"/>
        <v>44710.143329065737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158023.95723887594</v>
      </c>
      <c r="AA30" s="3">
        <f t="shared" si="12"/>
        <v>46845.233874808386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161406.65757352064</v>
      </c>
      <c r="AA31" s="3">
        <f t="shared" si="12"/>
        <v>49025.695094648065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164861.76883720382</v>
      </c>
      <c r="AA32" s="3">
        <f t="shared" si="12"/>
        <v>51252.491115409335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168390.84107637522</v>
      </c>
      <c r="AA33" s="3">
        <f t="shared" si="12"/>
        <v>53526.606551611781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171995.4575181664</v>
      </c>
      <c r="AA34" s="3">
        <f t="shared" si="12"/>
        <v>55849.046940833534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175677.23528066467</v>
      </c>
      <c r="AA35" s="3">
        <f t="shared" si="12"/>
        <v>58220.839188326245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179437.82609839141</v>
      </c>
      <c r="AA36" s="3">
        <f t="shared" si="12"/>
        <v>60643.032021078179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183278.9170633101</v>
      </c>
      <c r="AA37" s="3">
        <f t="shared" si="12"/>
        <v>63116.696451526092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187202.23138169659</v>
      </c>
      <c r="AA38" s="3">
        <f t="shared" si="12"/>
        <v>65642.926251121011</v>
      </c>
      <c r="AD38" s="25"/>
      <c r="AE38" s="26"/>
    </row>
    <row r="39" spans="1:31" x14ac:dyDescent="0.25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191209.52914721105</v>
      </c>
      <c r="AA39" s="3">
        <f t="shared" si="12"/>
        <v>68222.838433957339</v>
      </c>
      <c r="AD39" s="25"/>
      <c r="AE39" s="26"/>
    </row>
    <row r="40" spans="1:31" x14ac:dyDescent="0.25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195302.60813051855</v>
      </c>
      <c r="AA40" s="3">
        <f t="shared" si="12"/>
        <v>70857.57375067893</v>
      </c>
      <c r="AD40" s="25"/>
      <c r="AE40" s="26"/>
    </row>
    <row r="41" spans="1:31" x14ac:dyDescent="0.25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199483.30458581247</v>
      </c>
      <c r="AA41" s="3">
        <f t="shared" si="12"/>
        <v>73548.297192880855</v>
      </c>
      <c r="AD41" s="25"/>
      <c r="AE41" s="26"/>
    </row>
    <row r="42" spans="1:31" x14ac:dyDescent="0.25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203753.49407460252</v>
      </c>
      <c r="AA42" s="3">
        <f t="shared" si="12"/>
        <v>76296.198508229572</v>
      </c>
      <c r="AD42" s="25"/>
      <c r="AE42" s="26"/>
    </row>
    <row r="43" spans="1:31" x14ac:dyDescent="0.25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208115.09230713701</v>
      </c>
      <c r="AA43" s="3">
        <f t="shared" si="12"/>
        <v>79102.492726529454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212570.05600183667</v>
      </c>
      <c r="AA44" s="3">
        <f t="shared" si="12"/>
        <v>81968.420696968198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217120.38376312601</v>
      </c>
      <c r="AA45" s="3">
        <f t="shared" si="12"/>
        <v>84895.249636778768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221768.11697805545</v>
      </c>
      <c r="AA46" s="3">
        <f t="shared" si="12"/>
        <v>87884.273691560316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226515.34073211695</v>
      </c>
      <c r="AA47" s="3">
        <f t="shared" si="12"/>
        <v>90936.814507505973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231364.18474466386</v>
      </c>
      <c r="AA48" s="3">
        <f t="shared" si="12"/>
        <v>94054.221815790472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236316.82432435433</v>
      </c>
      <c r="AA49" s="3">
        <f t="shared" si="12"/>
        <v>97237.87402937602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 x14ac:dyDescent="0.25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 x14ac:dyDescent="0.25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 x14ac:dyDescent="0.25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 x14ac:dyDescent="0.25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 x14ac:dyDescent="0.25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 x14ac:dyDescent="0.25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 x14ac:dyDescent="0.25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 x14ac:dyDescent="0.25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 x14ac:dyDescent="0.25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 x14ac:dyDescent="0.25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 x14ac:dyDescent="0.25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 x14ac:dyDescent="0.25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 x14ac:dyDescent="0.25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 x14ac:dyDescent="0.25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 x14ac:dyDescent="0.25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 x14ac:dyDescent="0.25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 x14ac:dyDescent="0.25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 x14ac:dyDescent="0.25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 x14ac:dyDescent="0.25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 x14ac:dyDescent="0.25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 x14ac:dyDescent="0.25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 x14ac:dyDescent="0.25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 x14ac:dyDescent="0.25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 x14ac:dyDescent="0.25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 x14ac:dyDescent="0.25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 x14ac:dyDescent="0.25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 x14ac:dyDescent="0.25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 x14ac:dyDescent="0.25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 x14ac:dyDescent="0.25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 x14ac:dyDescent="0.25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 x14ac:dyDescent="0.25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 x14ac:dyDescent="0.25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 x14ac:dyDescent="0.25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 x14ac:dyDescent="0.25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 x14ac:dyDescent="0.25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 x14ac:dyDescent="0.25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 x14ac:dyDescent="0.25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 x14ac:dyDescent="0.25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 x14ac:dyDescent="0.25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 x14ac:dyDescent="0.25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 x14ac:dyDescent="0.25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 x14ac:dyDescent="0.25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 x14ac:dyDescent="0.25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 x14ac:dyDescent="0.25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 x14ac:dyDescent="0.25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 x14ac:dyDescent="0.25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 x14ac:dyDescent="0.25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 x14ac:dyDescent="0.25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 x14ac:dyDescent="0.25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 x14ac:dyDescent="0.25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 x14ac:dyDescent="0.25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 x14ac:dyDescent="0.25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 x14ac:dyDescent="0.25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 x14ac:dyDescent="0.25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 x14ac:dyDescent="0.25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abSelected="1" topLeftCell="A28" workbookViewId="0">
      <selection activeCell="G41" sqref="G41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 x14ac:dyDescent="0.2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3726</v>
      </c>
      <c r="AK23" s="103"/>
    </row>
    <row r="24" spans="5:37" x14ac:dyDescent="0.25">
      <c r="T24" t="s">
        <v>25</v>
      </c>
      <c r="AJ24" s="103" t="s">
        <v>3727</v>
      </c>
      <c r="AK24" s="103">
        <v>6145</v>
      </c>
    </row>
    <row r="25" spans="5:37" x14ac:dyDescent="0.25">
      <c r="AJ25" s="103" t="s">
        <v>3733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 x14ac:dyDescent="0.25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 x14ac:dyDescent="0.25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1121</v>
      </c>
      <c r="G39" s="96">
        <v>1200</v>
      </c>
      <c r="L39" s="59" t="s">
        <v>4231</v>
      </c>
      <c r="M39" s="69" t="s">
        <v>4230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1122</v>
      </c>
      <c r="G40" s="96">
        <v>15000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1123</v>
      </c>
      <c r="G42" s="99">
        <f>G36*G38*G39*G40/(G35*G37)+G41</f>
        <v>4241482.3151125396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03"/>
      <c r="AH50" s="103"/>
      <c r="AI50" s="196" t="s">
        <v>1095</v>
      </c>
      <c r="AJ50" s="196"/>
      <c r="AK50" s="196"/>
      <c r="AL50" s="196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6"/>
      <c r="AJ51" s="196"/>
      <c r="AK51" s="196"/>
      <c r="AL51" s="196"/>
    </row>
    <row r="52" spans="1:38" ht="15.75" x14ac:dyDescent="0.2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4131</v>
      </c>
      <c r="AI52" s="197" t="s">
        <v>1096</v>
      </c>
      <c r="AJ52" s="198" t="s">
        <v>1097</v>
      </c>
      <c r="AK52" s="197" t="s">
        <v>1098</v>
      </c>
      <c r="AL52" s="199" t="s">
        <v>1099</v>
      </c>
    </row>
    <row r="53" spans="1:38" x14ac:dyDescent="0.25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7"/>
      <c r="AJ53" s="198"/>
      <c r="AK53" s="197"/>
      <c r="AL53" s="199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5" t="s">
        <v>4199</v>
      </c>
      <c r="AH54" s="185">
        <v>2182188507</v>
      </c>
      <c r="AI54" s="186" t="s">
        <v>1100</v>
      </c>
      <c r="AJ54" s="186" t="s">
        <v>4132</v>
      </c>
      <c r="AK54" s="186" t="s">
        <v>4137</v>
      </c>
      <c r="AL54" s="186" t="s">
        <v>1101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5"/>
      <c r="AH55" s="185">
        <v>2123095122</v>
      </c>
      <c r="AI55" s="187" t="s">
        <v>1102</v>
      </c>
      <c r="AJ55" s="187" t="s">
        <v>1103</v>
      </c>
      <c r="AK55" s="187" t="s">
        <v>1104</v>
      </c>
      <c r="AL55" s="187" t="s">
        <v>1105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5" t="s">
        <v>4287</v>
      </c>
      <c r="AH56" s="185">
        <v>2188831909</v>
      </c>
      <c r="AI56" s="103" t="s">
        <v>4134</v>
      </c>
      <c r="AJ56" s="103" t="s">
        <v>4135</v>
      </c>
      <c r="AK56" s="103" t="s">
        <v>4136</v>
      </c>
      <c r="AL56" s="188" t="s">
        <v>4138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4124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 x14ac:dyDescent="0.25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 x14ac:dyDescent="0.25">
      <c r="A91" s="149" t="s">
        <v>3888</v>
      </c>
      <c r="B91" s="90">
        <f>116-'اوراق بدون ریسک'!$AD$19</f>
        <v>-72</v>
      </c>
      <c r="C91" s="150">
        <f>$B$89/(1+(C$90/36500))^$B91</f>
        <v>3108407.029325142</v>
      </c>
      <c r="D91" s="150">
        <f>$B$89/(1+(D$90/36500))^$B91</f>
        <v>3114541.6208020276</v>
      </c>
      <c r="E91" s="150">
        <f t="shared" ref="E91:K106" si="5">$B$89/(1+(E$90/36500))^$B91</f>
        <v>3120688.1507128906</v>
      </c>
      <c r="F91" s="150">
        <f t="shared" si="5"/>
        <v>3126846.6419630791</v>
      </c>
      <c r="G91" s="150">
        <f t="shared" si="5"/>
        <v>3133017.1175011718</v>
      </c>
      <c r="H91" s="150">
        <f t="shared" si="5"/>
        <v>3139199.6003193655</v>
      </c>
      <c r="I91" s="150">
        <f t="shared" si="5"/>
        <v>3145394.1134531572</v>
      </c>
      <c r="J91" s="150">
        <f t="shared" si="5"/>
        <v>3151600.6799816135</v>
      </c>
      <c r="K91" s="150">
        <f>$B$89/(1+(K$90/36500))^$B91</f>
        <v>3157819.3230274976</v>
      </c>
      <c r="L91" s="103"/>
    </row>
    <row r="92" spans="1:12" x14ac:dyDescent="0.25">
      <c r="A92" s="151" t="s">
        <v>3889</v>
      </c>
      <c r="B92" s="92">
        <f>120-'اوراق بدون ریسک'!$AD$19</f>
        <v>-68</v>
      </c>
      <c r="C92" s="152">
        <f t="shared" ref="C92:K112" si="6">$B$89/(1+(C$90/36500))^$B92</f>
        <v>3102282.9292245591</v>
      </c>
      <c r="D92" s="152">
        <f t="shared" si="6"/>
        <v>3108064.9785383721</v>
      </c>
      <c r="E92" s="152">
        <f t="shared" si="5"/>
        <v>3113857.6456919843</v>
      </c>
      <c r="F92" s="152">
        <f t="shared" si="5"/>
        <v>3119660.9498918792</v>
      </c>
      <c r="G92" s="152">
        <f t="shared" si="5"/>
        <v>3125474.9103786699</v>
      </c>
      <c r="H92" s="152">
        <f t="shared" si="5"/>
        <v>3131299.5464274525</v>
      </c>
      <c r="I92" s="152">
        <f t="shared" si="5"/>
        <v>3137134.8773474917</v>
      </c>
      <c r="J92" s="152">
        <f t="shared" si="5"/>
        <v>3142980.9224824519</v>
      </c>
      <c r="K92" s="152">
        <f t="shared" si="5"/>
        <v>3148837.7012105077</v>
      </c>
      <c r="L92" s="103">
        <v>27</v>
      </c>
    </row>
    <row r="93" spans="1:12" x14ac:dyDescent="0.25">
      <c r="A93" s="153" t="s">
        <v>3890</v>
      </c>
      <c r="B93" s="154">
        <f>137-'اوراق بدون ریسک'!$AD$19</f>
        <v>-51</v>
      </c>
      <c r="C93" s="155">
        <f t="shared" si="6"/>
        <v>3076389.8229724942</v>
      </c>
      <c r="D93" s="155">
        <f t="shared" si="6"/>
        <v>3080689.1640917039</v>
      </c>
      <c r="E93" s="155">
        <f t="shared" si="5"/>
        <v>3084994.3956866614</v>
      </c>
      <c r="F93" s="155">
        <f t="shared" si="5"/>
        <v>3089305.5256662117</v>
      </c>
      <c r="G93" s="155">
        <f t="shared" si="5"/>
        <v>3093622.5619495437</v>
      </c>
      <c r="H93" s="155">
        <f t="shared" si="5"/>
        <v>3097945.5124664092</v>
      </c>
      <c r="I93" s="155">
        <f t="shared" si="5"/>
        <v>3102274.385156868</v>
      </c>
      <c r="J93" s="155">
        <f t="shared" si="5"/>
        <v>3106609.1879714271</v>
      </c>
      <c r="K93" s="155">
        <f t="shared" si="5"/>
        <v>3110949.9288710868</v>
      </c>
      <c r="L93" s="150">
        <f t="shared" ref="L93:L114" si="7">$B$89/(1+(L$92/36500))^$B91</f>
        <v>3164050.0657573016</v>
      </c>
    </row>
    <row r="94" spans="1:12" x14ac:dyDescent="0.25">
      <c r="A94" s="156" t="s">
        <v>3891</v>
      </c>
      <c r="B94" s="157">
        <f>116-'اوراق بدون ریسک'!$AD$19</f>
        <v>-72</v>
      </c>
      <c r="C94" s="158">
        <f t="shared" si="6"/>
        <v>3108407.029325142</v>
      </c>
      <c r="D94" s="158">
        <f t="shared" si="6"/>
        <v>3114541.6208020276</v>
      </c>
      <c r="E94" s="158">
        <f t="shared" si="5"/>
        <v>3120688.1507128906</v>
      </c>
      <c r="F94" s="158">
        <f t="shared" si="5"/>
        <v>3126846.6419630791</v>
      </c>
      <c r="G94" s="158">
        <f t="shared" si="5"/>
        <v>3133017.1175011718</v>
      </c>
      <c r="H94" s="158">
        <f t="shared" si="5"/>
        <v>3139199.6003193655</v>
      </c>
      <c r="I94" s="158">
        <f t="shared" si="5"/>
        <v>3145394.1134531572</v>
      </c>
      <c r="J94" s="158">
        <f t="shared" si="5"/>
        <v>3151600.6799816135</v>
      </c>
      <c r="K94" s="158">
        <f t="shared" si="5"/>
        <v>3157819.3230274976</v>
      </c>
      <c r="L94" s="152">
        <f t="shared" si="7"/>
        <v>3154705.2329443581</v>
      </c>
    </row>
    <row r="95" spans="1:12" x14ac:dyDescent="0.25">
      <c r="A95" s="159" t="s">
        <v>3892</v>
      </c>
      <c r="B95" s="160">
        <f>167-'اوراق بدون ریسک'!$AD$19</f>
        <v>-21</v>
      </c>
      <c r="C95" s="161">
        <f t="shared" si="6"/>
        <v>3031222.1872341046</v>
      </c>
      <c r="D95" s="161">
        <f t="shared" si="6"/>
        <v>3032965.7958727931</v>
      </c>
      <c r="E95" s="161">
        <f t="shared" si="5"/>
        <v>3034710.3596779332</v>
      </c>
      <c r="F95" s="161">
        <f t="shared" si="5"/>
        <v>3036455.8791465964</v>
      </c>
      <c r="G95" s="161">
        <f t="shared" si="5"/>
        <v>3038202.3547760812</v>
      </c>
      <c r="H95" s="161">
        <f t="shared" si="5"/>
        <v>3039949.7870639879</v>
      </c>
      <c r="I95" s="161">
        <f t="shared" si="5"/>
        <v>3041698.1765081119</v>
      </c>
      <c r="J95" s="161">
        <f t="shared" si="5"/>
        <v>3043447.5236065006</v>
      </c>
      <c r="K95" s="161">
        <f t="shared" si="5"/>
        <v>3045197.8288574563</v>
      </c>
      <c r="L95" s="155">
        <f t="shared" si="7"/>
        <v>3115296.615827322</v>
      </c>
    </row>
    <row r="96" spans="1:12" x14ac:dyDescent="0.25">
      <c r="A96" s="164" t="s">
        <v>3893</v>
      </c>
      <c r="B96" s="23">
        <f>181-'اوراق بدون ریسک'!$AD$19</f>
        <v>-7</v>
      </c>
      <c r="C96" s="165">
        <f t="shared" si="6"/>
        <v>3010371.4984314218</v>
      </c>
      <c r="D96" s="165">
        <f t="shared" si="6"/>
        <v>3010948.5927878735</v>
      </c>
      <c r="E96" s="165">
        <f t="shared" si="5"/>
        <v>3011525.7819675845</v>
      </c>
      <c r="F96" s="165">
        <f t="shared" si="5"/>
        <v>3012103.0659835381</v>
      </c>
      <c r="G96" s="165">
        <f t="shared" si="5"/>
        <v>3012680.4448487144</v>
      </c>
      <c r="H96" s="165">
        <f t="shared" si="5"/>
        <v>3013257.9185761083</v>
      </c>
      <c r="I96" s="165">
        <f t="shared" si="5"/>
        <v>3013835.4871787056</v>
      </c>
      <c r="J96" s="165">
        <f t="shared" si="5"/>
        <v>3014413.1506694909</v>
      </c>
      <c r="K96" s="165">
        <f t="shared" si="5"/>
        <v>3014990.9090614584</v>
      </c>
      <c r="L96" s="158">
        <f t="shared" si="7"/>
        <v>3164050.0657573016</v>
      </c>
    </row>
    <row r="97" spans="1:12" x14ac:dyDescent="0.25">
      <c r="A97" s="166" t="s">
        <v>3894</v>
      </c>
      <c r="B97" s="88">
        <f>197-'اوراق بدون ریسک'!$AD$19</f>
        <v>9</v>
      </c>
      <c r="C97" s="146">
        <f t="shared" si="6"/>
        <v>2986717.7039034385</v>
      </c>
      <c r="D97" s="146">
        <f t="shared" si="6"/>
        <v>2985981.7167391642</v>
      </c>
      <c r="E97" s="146">
        <f t="shared" si="5"/>
        <v>2985245.9310827092</v>
      </c>
      <c r="F97" s="146">
        <f t="shared" si="5"/>
        <v>2984510.3468733854</v>
      </c>
      <c r="G97" s="146">
        <f t="shared" si="5"/>
        <v>2983774.964050536</v>
      </c>
      <c r="H97" s="146">
        <f t="shared" si="5"/>
        <v>2983039.7825534986</v>
      </c>
      <c r="I97" s="146">
        <f t="shared" si="5"/>
        <v>2982304.802321652</v>
      </c>
      <c r="J97" s="146">
        <f t="shared" si="5"/>
        <v>2981570.0232943916</v>
      </c>
      <c r="K97" s="146">
        <f t="shared" si="5"/>
        <v>2980835.4454111289</v>
      </c>
      <c r="L97" s="161">
        <f t="shared" si="7"/>
        <v>3046949.0927595347</v>
      </c>
    </row>
    <row r="98" spans="1:12" x14ac:dyDescent="0.25">
      <c r="A98" s="167" t="s">
        <v>3895</v>
      </c>
      <c r="B98" s="23">
        <f>214-'اوراق بدون ریسک'!$AD$19</f>
        <v>26</v>
      </c>
      <c r="C98" s="110">
        <f t="shared" si="6"/>
        <v>2961789.1591457799</v>
      </c>
      <c r="D98" s="110">
        <f t="shared" si="6"/>
        <v>2959681.2108028191</v>
      </c>
      <c r="E98" s="110">
        <f t="shared" si="5"/>
        <v>2957574.8203768549</v>
      </c>
      <c r="F98" s="110">
        <f t="shared" si="5"/>
        <v>2955469.9866738659</v>
      </c>
      <c r="G98" s="110">
        <f t="shared" si="5"/>
        <v>2953366.7085008123</v>
      </c>
      <c r="H98" s="110">
        <f t="shared" si="5"/>
        <v>2951264.9846655261</v>
      </c>
      <c r="I98" s="110">
        <f t="shared" si="5"/>
        <v>2949164.813976842</v>
      </c>
      <c r="J98" s="110">
        <f t="shared" si="5"/>
        <v>2947066.1952445414</v>
      </c>
      <c r="K98" s="110">
        <f t="shared" si="5"/>
        <v>2944969.1272793314</v>
      </c>
      <c r="L98" s="165">
        <f t="shared" si="7"/>
        <v>3015568.7623676001</v>
      </c>
    </row>
    <row r="99" spans="1:12" x14ac:dyDescent="0.25">
      <c r="A99" s="168" t="s">
        <v>3896</v>
      </c>
      <c r="B99" s="169">
        <f>272-'اوراق بدون ریسک'!$AD$19</f>
        <v>84</v>
      </c>
      <c r="C99" s="170">
        <f t="shared" si="6"/>
        <v>2878294.243372757</v>
      </c>
      <c r="D99" s="170">
        <f t="shared" si="6"/>
        <v>2871681.1880267216</v>
      </c>
      <c r="E99" s="170">
        <f t="shared" si="5"/>
        <v>2865083.5070349546</v>
      </c>
      <c r="F99" s="170">
        <f t="shared" si="5"/>
        <v>2858501.1642348883</v>
      </c>
      <c r="G99" s="170">
        <f t="shared" si="5"/>
        <v>2851934.1235500905</v>
      </c>
      <c r="H99" s="170">
        <f t="shared" si="5"/>
        <v>2845382.3489897368</v>
      </c>
      <c r="I99" s="170">
        <f t="shared" si="5"/>
        <v>2838845.8046488245</v>
      </c>
      <c r="J99" s="170">
        <f t="shared" si="5"/>
        <v>2832324.4547077678</v>
      </c>
      <c r="K99" s="170">
        <f t="shared" si="5"/>
        <v>2825818.2634321433</v>
      </c>
      <c r="L99" s="146">
        <f t="shared" si="7"/>
        <v>2980101.0686112945</v>
      </c>
    </row>
    <row r="100" spans="1:12" x14ac:dyDescent="0.25">
      <c r="A100" s="153" t="s">
        <v>3897</v>
      </c>
      <c r="B100" s="154">
        <f>302-'اوراق بدون ریسک'!$AD$19</f>
        <v>114</v>
      </c>
      <c r="C100" s="155">
        <f t="shared" si="6"/>
        <v>2836035.0521084503</v>
      </c>
      <c r="D100" s="155">
        <f t="shared" si="6"/>
        <v>2827195.590342632</v>
      </c>
      <c r="E100" s="155">
        <f t="shared" si="5"/>
        <v>2818383.9206638448</v>
      </c>
      <c r="F100" s="155">
        <f t="shared" si="5"/>
        <v>2809599.9549337644</v>
      </c>
      <c r="G100" s="155">
        <f t="shared" si="5"/>
        <v>2800843.6052961093</v>
      </c>
      <c r="H100" s="155">
        <f t="shared" si="5"/>
        <v>2792114.7841752972</v>
      </c>
      <c r="I100" s="155">
        <f t="shared" si="5"/>
        <v>2783413.4042761032</v>
      </c>
      <c r="J100" s="155">
        <f t="shared" si="5"/>
        <v>2774739.3785824878</v>
      </c>
      <c r="K100" s="155">
        <f t="shared" si="5"/>
        <v>2766092.6203566357</v>
      </c>
      <c r="L100" s="110">
        <f t="shared" si="7"/>
        <v>2942873.6088928594</v>
      </c>
    </row>
    <row r="101" spans="1:12" x14ac:dyDescent="0.25">
      <c r="A101" s="156" t="s">
        <v>3898</v>
      </c>
      <c r="B101" s="157">
        <f>319-'اوراق بدون ریسک'!$AD$19</f>
        <v>131</v>
      </c>
      <c r="C101" s="158">
        <f t="shared" si="6"/>
        <v>2812364.1753334627</v>
      </c>
      <c r="D101" s="158">
        <f t="shared" si="6"/>
        <v>2802293.6714895526</v>
      </c>
      <c r="E101" s="158">
        <f t="shared" si="5"/>
        <v>2792259.5023476612</v>
      </c>
      <c r="F101" s="158">
        <f t="shared" si="5"/>
        <v>2782261.5358214611</v>
      </c>
      <c r="G101" s="158">
        <f t="shared" si="5"/>
        <v>2772299.6403085371</v>
      </c>
      <c r="H101" s="158">
        <f t="shared" si="5"/>
        <v>2762373.6846881001</v>
      </c>
      <c r="I101" s="158">
        <f t="shared" si="5"/>
        <v>2752483.5383198503</v>
      </c>
      <c r="J101" s="158">
        <f t="shared" si="5"/>
        <v>2742629.0710419081</v>
      </c>
      <c r="K101" s="158">
        <f t="shared" si="5"/>
        <v>2732810.1531689689</v>
      </c>
      <c r="L101" s="170">
        <f t="shared" si="7"/>
        <v>2819327.1951725353</v>
      </c>
    </row>
    <row r="102" spans="1:12" x14ac:dyDescent="0.25">
      <c r="A102" s="153" t="s">
        <v>3899</v>
      </c>
      <c r="B102" s="154">
        <f>334-'اوراق بدون ریسک'!$AD$19</f>
        <v>146</v>
      </c>
      <c r="C102" s="155">
        <f t="shared" si="6"/>
        <v>2791642.2319159345</v>
      </c>
      <c r="D102" s="155">
        <f t="shared" si="6"/>
        <v>2780503.6007015868</v>
      </c>
      <c r="E102" s="155">
        <f t="shared" si="5"/>
        <v>2769409.7157220324</v>
      </c>
      <c r="F102" s="155">
        <f t="shared" si="5"/>
        <v>2758360.3960043131</v>
      </c>
      <c r="G102" s="155">
        <f t="shared" si="5"/>
        <v>2747355.4613124817</v>
      </c>
      <c r="H102" s="155">
        <f t="shared" si="5"/>
        <v>2736394.7321440415</v>
      </c>
      <c r="I102" s="155">
        <f t="shared" si="5"/>
        <v>2725478.0297276392</v>
      </c>
      <c r="J102" s="155">
        <f t="shared" si="5"/>
        <v>2714605.1760197454</v>
      </c>
      <c r="K102" s="155">
        <f t="shared" si="5"/>
        <v>2703775.993701579</v>
      </c>
      <c r="L102" s="155">
        <f t="shared" si="7"/>
        <v>2757473.0431381152</v>
      </c>
    </row>
    <row r="103" spans="1:12" x14ac:dyDescent="0.25">
      <c r="A103" s="156" t="s">
        <v>3900</v>
      </c>
      <c r="B103" s="157">
        <f>349-'اوراق بدون ریسک'!$AD$19</f>
        <v>161</v>
      </c>
      <c r="C103" s="158">
        <f t="shared" si="6"/>
        <v>2771072.9710502489</v>
      </c>
      <c r="D103" s="158">
        <f t="shared" si="6"/>
        <v>2758882.9651122843</v>
      </c>
      <c r="E103" s="158">
        <f t="shared" si="5"/>
        <v>2746746.9148505568</v>
      </c>
      <c r="F103" s="158">
        <f t="shared" si="5"/>
        <v>2734664.5799776143</v>
      </c>
      <c r="G103" s="158">
        <f t="shared" si="5"/>
        <v>2722635.7212828142</v>
      </c>
      <c r="H103" s="158">
        <f t="shared" si="5"/>
        <v>2710660.1006268687</v>
      </c>
      <c r="I103" s="158">
        <f t="shared" si="5"/>
        <v>2698737.480937792</v>
      </c>
      <c r="J103" s="158">
        <f t="shared" si="5"/>
        <v>2686867.626205727</v>
      </c>
      <c r="K103" s="158">
        <f t="shared" si="5"/>
        <v>2675050.3014780628</v>
      </c>
      <c r="L103" s="158">
        <f t="shared" si="7"/>
        <v>2723026.6554906224</v>
      </c>
    </row>
    <row r="104" spans="1:12" x14ac:dyDescent="0.25">
      <c r="A104" s="168" t="s">
        <v>3901</v>
      </c>
      <c r="B104" s="169">
        <f>361-'اوراق بدون ریسک'!$AD$19</f>
        <v>173</v>
      </c>
      <c r="C104" s="170">
        <f t="shared" si="6"/>
        <v>2754726.7375233066</v>
      </c>
      <c r="D104" s="170">
        <f t="shared" si="6"/>
        <v>2741707.5642830823</v>
      </c>
      <c r="E104" s="170">
        <f t="shared" si="5"/>
        <v>2728750.2752119149</v>
      </c>
      <c r="F104" s="170">
        <f t="shared" si="5"/>
        <v>2715854.57447269</v>
      </c>
      <c r="G104" s="170">
        <f t="shared" si="5"/>
        <v>2703020.1676507629</v>
      </c>
      <c r="H104" s="170">
        <f t="shared" si="5"/>
        <v>2690246.7617464489</v>
      </c>
      <c r="I104" s="170">
        <f t="shared" si="5"/>
        <v>2677534.0651690071</v>
      </c>
      <c r="J104" s="170">
        <f t="shared" si="5"/>
        <v>2664881.7877294375</v>
      </c>
      <c r="K104" s="170">
        <f t="shared" si="5"/>
        <v>2652289.6406336152</v>
      </c>
      <c r="L104" s="155">
        <f t="shared" si="7"/>
        <v>2692990.3061762266</v>
      </c>
    </row>
    <row r="105" spans="1:12" x14ac:dyDescent="0.25">
      <c r="A105" s="162" t="s">
        <v>3902</v>
      </c>
      <c r="B105" s="94">
        <f>372-'اوراق بدون ریسک'!$AD$19</f>
        <v>184</v>
      </c>
      <c r="C105" s="163">
        <f t="shared" si="6"/>
        <v>2739827.4102782817</v>
      </c>
      <c r="D105" s="163">
        <f t="shared" si="6"/>
        <v>2726057.3940347461</v>
      </c>
      <c r="E105" s="163">
        <f t="shared" si="5"/>
        <v>2712356.9583219131</v>
      </c>
      <c r="F105" s="163">
        <f t="shared" si="5"/>
        <v>2698725.7496552826</v>
      </c>
      <c r="G105" s="163">
        <f t="shared" si="5"/>
        <v>2685163.4163559317</v>
      </c>
      <c r="H105" s="163">
        <f t="shared" si="5"/>
        <v>2671669.608540569</v>
      </c>
      <c r="I105" s="163">
        <f t="shared" si="5"/>
        <v>2658243.9781131893</v>
      </c>
      <c r="J105" s="163">
        <f t="shared" si="5"/>
        <v>2644886.1787554878</v>
      </c>
      <c r="K105" s="163">
        <f t="shared" si="5"/>
        <v>2631595.8659176319</v>
      </c>
      <c r="L105" s="158">
        <f t="shared" si="7"/>
        <v>2663285.2728547608</v>
      </c>
    </row>
    <row r="106" spans="1:12" x14ac:dyDescent="0.25">
      <c r="A106" s="156" t="s">
        <v>3903</v>
      </c>
      <c r="B106" s="157">
        <f>391-'اوراق بدون ریسک'!$AD$19</f>
        <v>203</v>
      </c>
      <c r="C106" s="158">
        <f t="shared" si="6"/>
        <v>2714281.767607552</v>
      </c>
      <c r="D106" s="158">
        <f t="shared" si="6"/>
        <v>2699235.4054025444</v>
      </c>
      <c r="E106" s="158">
        <f t="shared" si="5"/>
        <v>2684272.8598592551</v>
      </c>
      <c r="F106" s="158">
        <f t="shared" si="5"/>
        <v>2669393.6617960106</v>
      </c>
      <c r="G106" s="158">
        <f t="shared" si="5"/>
        <v>2654597.3446704289</v>
      </c>
      <c r="H106" s="158">
        <f t="shared" si="5"/>
        <v>2639883.4445637716</v>
      </c>
      <c r="I106" s="158">
        <f t="shared" si="5"/>
        <v>2625251.500167063</v>
      </c>
      <c r="J106" s="158">
        <f t="shared" si="5"/>
        <v>2610701.0527659003</v>
      </c>
      <c r="K106" s="158">
        <f t="shared" si="5"/>
        <v>2596231.6462256685</v>
      </c>
      <c r="L106" s="170">
        <f t="shared" si="7"/>
        <v>2639757.3364756345</v>
      </c>
    </row>
    <row r="107" spans="1:12" x14ac:dyDescent="0.25">
      <c r="A107" s="162" t="s">
        <v>3904</v>
      </c>
      <c r="B107" s="94">
        <f>407-'اوراق بدون ریسک'!$AD$19</f>
        <v>219</v>
      </c>
      <c r="C107" s="163">
        <f t="shared" si="6"/>
        <v>2692954.478515327</v>
      </c>
      <c r="D107" s="163">
        <f t="shared" si="6"/>
        <v>2676853.2644538768</v>
      </c>
      <c r="E107" s="163">
        <f t="shared" si="6"/>
        <v>2660848.7567305989</v>
      </c>
      <c r="F107" s="163">
        <f t="shared" si="6"/>
        <v>2644940.3718883125</v>
      </c>
      <c r="G107" s="163">
        <f t="shared" si="6"/>
        <v>2629127.5300060604</v>
      </c>
      <c r="H107" s="163">
        <f t="shared" si="6"/>
        <v>2613409.6546767917</v>
      </c>
      <c r="I107" s="163">
        <f t="shared" si="6"/>
        <v>2597786.1729869903</v>
      </c>
      <c r="J107" s="163">
        <f t="shared" si="6"/>
        <v>2582256.5154949366</v>
      </c>
      <c r="K107" s="163">
        <f t="shared" si="6"/>
        <v>2566820.1162094474</v>
      </c>
      <c r="L107" s="163">
        <f t="shared" si="7"/>
        <v>2618372.6968092788</v>
      </c>
    </row>
    <row r="108" spans="1:12" x14ac:dyDescent="0.25">
      <c r="A108" s="153" t="s">
        <v>3905</v>
      </c>
      <c r="B108" s="154">
        <f>573-'اوراق بدون ریسک'!$AD$19</f>
        <v>385</v>
      </c>
      <c r="C108" s="155">
        <f t="shared" si="6"/>
        <v>2481333.3953902237</v>
      </c>
      <c r="D108" s="155">
        <f t="shared" si="6"/>
        <v>2455311.0981095168</v>
      </c>
      <c r="E108" s="155">
        <f t="shared" si="6"/>
        <v>2429562.403846005</v>
      </c>
      <c r="F108" s="155">
        <f t="shared" si="6"/>
        <v>2404084.4285153737</v>
      </c>
      <c r="G108" s="155">
        <f t="shared" si="6"/>
        <v>2378874.3185128933</v>
      </c>
      <c r="H108" s="155">
        <f t="shared" si="6"/>
        <v>2353929.2503892323</v>
      </c>
      <c r="I108" s="155">
        <f t="shared" si="6"/>
        <v>2329246.4305325928</v>
      </c>
      <c r="J108" s="155">
        <f t="shared" si="6"/>
        <v>2304823.0948518403</v>
      </c>
      <c r="K108" s="155">
        <f t="shared" si="6"/>
        <v>2280656.5084635606</v>
      </c>
      <c r="L108" s="158">
        <f t="shared" si="7"/>
        <v>2581842.8269770863</v>
      </c>
    </row>
    <row r="109" spans="1:12" x14ac:dyDescent="0.25">
      <c r="A109" s="162" t="s">
        <v>3906</v>
      </c>
      <c r="B109" s="94">
        <f>579-'اوراق بدون ریسک'!$AD$19</f>
        <v>391</v>
      </c>
      <c r="C109" s="163">
        <f t="shared" si="6"/>
        <v>2474004.0237033134</v>
      </c>
      <c r="D109" s="163">
        <f t="shared" si="6"/>
        <v>2447656.4074930544</v>
      </c>
      <c r="E109" s="163">
        <f t="shared" si="6"/>
        <v>2421590.0977560733</v>
      </c>
      <c r="F109" s="163">
        <f t="shared" si="6"/>
        <v>2395802.0834784093</v>
      </c>
      <c r="G109" s="163">
        <f t="shared" si="6"/>
        <v>2370289.385956516</v>
      </c>
      <c r="H109" s="163">
        <f t="shared" si="6"/>
        <v>2345049.0584484101</v>
      </c>
      <c r="I109" s="163">
        <f t="shared" si="6"/>
        <v>2320078.1858314932</v>
      </c>
      <c r="J109" s="163">
        <f t="shared" si="6"/>
        <v>2295373.8842616589</v>
      </c>
      <c r="K109" s="163">
        <f t="shared" si="6"/>
        <v>2270933.3008366395</v>
      </c>
      <c r="L109" s="163">
        <f t="shared" si="7"/>
        <v>2551476.4125689985</v>
      </c>
    </row>
    <row r="110" spans="1:12" x14ac:dyDescent="0.25">
      <c r="A110" s="156" t="s">
        <v>3907</v>
      </c>
      <c r="B110" s="157">
        <f>753-'اوراق بدون ریسک'!$AD$19</f>
        <v>565</v>
      </c>
      <c r="C110" s="158">
        <f t="shared" si="6"/>
        <v>2270615.2554767998</v>
      </c>
      <c r="D110" s="158">
        <f t="shared" si="6"/>
        <v>2235755.5444419137</v>
      </c>
      <c r="E110" s="158">
        <f t="shared" si="6"/>
        <v>2201431.9511512886</v>
      </c>
      <c r="F110" s="158">
        <f t="shared" si="6"/>
        <v>2167636.2161498903</v>
      </c>
      <c r="G110" s="158">
        <f t="shared" si="6"/>
        <v>2134360.2074496546</v>
      </c>
      <c r="H110" s="158">
        <f t="shared" si="6"/>
        <v>2101595.918557256</v>
      </c>
      <c r="I110" s="158">
        <f t="shared" si="6"/>
        <v>2069335.4665362106</v>
      </c>
      <c r="J110" s="158">
        <f t="shared" si="6"/>
        <v>2037571.090095839</v>
      </c>
      <c r="K110" s="158">
        <f t="shared" si="6"/>
        <v>2006295.1477105864</v>
      </c>
      <c r="L110" s="155">
        <f t="shared" si="7"/>
        <v>2256743.9653828326</v>
      </c>
    </row>
    <row r="111" spans="1:12" x14ac:dyDescent="0.25">
      <c r="A111" s="168" t="s">
        <v>3908</v>
      </c>
      <c r="B111" s="169">
        <f>757-'اوراق بدون ریسک'!$AD$19</f>
        <v>569</v>
      </c>
      <c r="C111" s="170">
        <f t="shared" si="6"/>
        <v>2266141.7502430049</v>
      </c>
      <c r="D111" s="170">
        <f t="shared" si="6"/>
        <v>2231106.3245523404</v>
      </c>
      <c r="E111" s="170">
        <f t="shared" si="6"/>
        <v>2196613.497249675</v>
      </c>
      <c r="F111" s="170">
        <f t="shared" si="6"/>
        <v>2162654.8505265815</v>
      </c>
      <c r="G111" s="170">
        <f t="shared" si="6"/>
        <v>2129222.097393156</v>
      </c>
      <c r="H111" s="170">
        <f t="shared" si="6"/>
        <v>2096307.0796398653</v>
      </c>
      <c r="I111" s="170">
        <f t="shared" si="6"/>
        <v>2063901.765834969</v>
      </c>
      <c r="J111" s="170">
        <f t="shared" si="6"/>
        <v>2031998.2493500276</v>
      </c>
      <c r="K111" s="170">
        <f t="shared" si="6"/>
        <v>2000588.7464169494</v>
      </c>
      <c r="L111" s="163">
        <f t="shared" si="7"/>
        <v>2246753.613263383</v>
      </c>
    </row>
    <row r="112" spans="1:12" x14ac:dyDescent="0.25">
      <c r="A112" s="153" t="s">
        <v>3909</v>
      </c>
      <c r="B112" s="154">
        <f>774-'اوراق بدون ریسک'!$AD$19</f>
        <v>586</v>
      </c>
      <c r="C112" s="155">
        <f t="shared" si="6"/>
        <v>2247227.4698695024</v>
      </c>
      <c r="D112" s="155">
        <f t="shared" si="6"/>
        <v>2211454.7557551987</v>
      </c>
      <c r="E112" s="155">
        <f t="shared" si="6"/>
        <v>2176252.4493951267</v>
      </c>
      <c r="F112" s="155">
        <f t="shared" si="6"/>
        <v>2141611.4402022297</v>
      </c>
      <c r="G112" s="155">
        <f t="shared" si="6"/>
        <v>2107522.7633482879</v>
      </c>
      <c r="H112" s="155">
        <f t="shared" si="6"/>
        <v>2073977.5974263682</v>
      </c>
      <c r="I112" s="155">
        <f t="shared" si="6"/>
        <v>2040967.2621546751</v>
      </c>
      <c r="J112" s="155">
        <f t="shared" si="6"/>
        <v>2008483.2161140474</v>
      </c>
      <c r="K112" s="155">
        <f t="shared" si="6"/>
        <v>1976517.0545225358</v>
      </c>
      <c r="L112" s="158">
        <f t="shared" si="7"/>
        <v>1975500.1157689586</v>
      </c>
    </row>
    <row r="113" spans="1:12" x14ac:dyDescent="0.25">
      <c r="A113" s="100"/>
      <c r="B113" s="100"/>
      <c r="C113" s="100"/>
      <c r="D113" s="100"/>
      <c r="E113" s="100"/>
      <c r="F113" s="100"/>
      <c r="L113" s="170">
        <f t="shared" si="7"/>
        <v>1969665.594215838</v>
      </c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1945060.5070462187</v>
      </c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3760</v>
      </c>
      <c r="I1" t="s">
        <v>3766</v>
      </c>
    </row>
    <row r="2" spans="1:12" x14ac:dyDescent="0.25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 x14ac:dyDescent="0.25">
      <c r="A3">
        <v>2</v>
      </c>
      <c r="B3" t="s">
        <v>3755</v>
      </c>
      <c r="G3" s="127"/>
      <c r="H3" t="s">
        <v>3762</v>
      </c>
      <c r="I3" t="s">
        <v>3768</v>
      </c>
    </row>
    <row r="4" spans="1:12" x14ac:dyDescent="0.25">
      <c r="A4">
        <v>3</v>
      </c>
      <c r="B4" t="s">
        <v>3756</v>
      </c>
      <c r="H4" t="s">
        <v>3763</v>
      </c>
      <c r="L4" s="127"/>
    </row>
    <row r="5" spans="1:12" x14ac:dyDescent="0.25">
      <c r="H5" t="s">
        <v>3765</v>
      </c>
    </row>
    <row r="6" spans="1:12" x14ac:dyDescent="0.25">
      <c r="B6" s="127" t="s">
        <v>3759</v>
      </c>
      <c r="H6" t="s">
        <v>3769</v>
      </c>
    </row>
    <row r="7" spans="1:12" x14ac:dyDescent="0.25">
      <c r="H7" t="s">
        <v>3770</v>
      </c>
    </row>
    <row r="8" spans="1:12" x14ac:dyDescent="0.25">
      <c r="H8" t="s">
        <v>3771</v>
      </c>
    </row>
    <row r="9" spans="1:12" x14ac:dyDescent="0.25">
      <c r="H9" t="s">
        <v>3784</v>
      </c>
    </row>
    <row r="10" spans="1:12" x14ac:dyDescent="0.25">
      <c r="H10" t="s">
        <v>3785</v>
      </c>
    </row>
    <row r="11" spans="1:12" x14ac:dyDescent="0.25">
      <c r="H11" t="s">
        <v>3786</v>
      </c>
    </row>
    <row r="12" spans="1:12" x14ac:dyDescent="0.25">
      <c r="H12" t="s">
        <v>3788</v>
      </c>
    </row>
    <row r="13" spans="1:12" x14ac:dyDescent="0.25">
      <c r="H13" t="s">
        <v>3787</v>
      </c>
    </row>
    <row r="18" spans="1:8" x14ac:dyDescent="0.25">
      <c r="A18" s="103" t="s">
        <v>3772</v>
      </c>
      <c r="B18" s="103"/>
      <c r="C18" s="103"/>
      <c r="D18" s="103"/>
    </row>
    <row r="19" spans="1:8" x14ac:dyDescent="0.25">
      <c r="A19" s="103">
        <v>1</v>
      </c>
      <c r="B19" s="103" t="s">
        <v>3773</v>
      </c>
      <c r="C19" s="103" t="s">
        <v>3775</v>
      </c>
      <c r="D19" s="103"/>
    </row>
    <row r="20" spans="1:8" x14ac:dyDescent="0.25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3782</v>
      </c>
      <c r="H38" s="22"/>
    </row>
    <row r="39" spans="1:8" x14ac:dyDescent="0.25">
      <c r="A39">
        <v>1</v>
      </c>
      <c r="B39" t="s">
        <v>3779</v>
      </c>
    </row>
    <row r="40" spans="1:8" x14ac:dyDescent="0.25">
      <c r="A40">
        <v>2</v>
      </c>
      <c r="B40" t="s">
        <v>3783</v>
      </c>
    </row>
    <row r="41" spans="1:8" x14ac:dyDescent="0.25">
      <c r="A41">
        <v>3</v>
      </c>
      <c r="B41" t="s">
        <v>3780</v>
      </c>
    </row>
    <row r="42" spans="1:8" x14ac:dyDescent="0.25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 x14ac:dyDescent="0.2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 x14ac:dyDescent="0.2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 x14ac:dyDescent="0.2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3885</v>
      </c>
      <c r="R8" t="s">
        <v>3940</v>
      </c>
      <c r="S8" t="s">
        <v>3993</v>
      </c>
    </row>
    <row r="9" spans="2:19" x14ac:dyDescent="0.25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943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M22" sqref="M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4196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4197</v>
      </c>
      <c r="R8" s="119" t="s">
        <v>4198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L20" t="s">
        <v>4263</v>
      </c>
      <c r="M20" t="s">
        <v>4070</v>
      </c>
      <c r="N20" t="s">
        <v>4264</v>
      </c>
      <c r="O20" t="s">
        <v>4154</v>
      </c>
      <c r="P20" t="s">
        <v>4155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4" t="s">
        <v>25</v>
      </c>
      <c r="B104" s="175"/>
      <c r="C104" s="176"/>
      <c r="D104" s="174"/>
      <c r="E104" s="174"/>
      <c r="F104" s="174"/>
      <c r="G104" s="174"/>
    </row>
    <row r="105" spans="1:7" x14ac:dyDescent="0.25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opLeftCell="B11" zoomScaleNormal="100" workbookViewId="0">
      <selection activeCell="P34" sqref="P3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100" bestFit="1" customWidth="1"/>
    <col min="45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  <c r="AO6" s="103" t="s">
        <v>4218</v>
      </c>
      <c r="AP6" s="103" t="s">
        <v>267</v>
      </c>
      <c r="AQ6" s="103" t="s">
        <v>180</v>
      </c>
      <c r="AR6" s="103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  <c r="AO7" s="103">
        <v>1</v>
      </c>
      <c r="AP7" s="117">
        <v>4960000</v>
      </c>
      <c r="AQ7" s="103" t="s">
        <v>4219</v>
      </c>
      <c r="AR7" s="103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  <c r="AO8" s="103">
        <v>2</v>
      </c>
      <c r="AP8" s="117">
        <v>15000000</v>
      </c>
      <c r="AQ8" s="103" t="s">
        <v>4209</v>
      </c>
      <c r="AR8" s="103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  <c r="AO9" s="103">
        <v>3</v>
      </c>
      <c r="AP9" s="117">
        <v>15000000</v>
      </c>
      <c r="AQ9" s="103" t="s">
        <v>4210</v>
      </c>
      <c r="AR9" s="103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  <c r="AO10" s="103">
        <v>4</v>
      </c>
      <c r="AP10" s="181">
        <v>3000000</v>
      </c>
      <c r="AQ10" s="103" t="s">
        <v>4220</v>
      </c>
      <c r="AR10" s="103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  <c r="AO11" s="103">
        <v>5</v>
      </c>
      <c r="AP11" s="181">
        <v>2500000</v>
      </c>
      <c r="AQ11" s="103" t="s">
        <v>4211</v>
      </c>
      <c r="AR11" s="103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  <c r="AO12" s="103">
        <v>6</v>
      </c>
      <c r="AP12" s="181">
        <v>2500000</v>
      </c>
      <c r="AQ12" s="103" t="s">
        <v>4222</v>
      </c>
      <c r="AR12" s="103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  <c r="AO13" s="103">
        <v>7</v>
      </c>
      <c r="AP13" s="181">
        <v>-150000</v>
      </c>
      <c r="AQ13" s="103" t="s">
        <v>4232</v>
      </c>
      <c r="AR13" s="103" t="s">
        <v>4251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  <c r="AO14" s="103">
        <v>8</v>
      </c>
      <c r="AP14" s="181">
        <v>-250000</v>
      </c>
      <c r="AQ14" s="103" t="s">
        <v>4241</v>
      </c>
      <c r="AR14" s="103" t="s">
        <v>4258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0" t="s">
        <v>451</v>
      </c>
      <c r="L15" s="180" t="s">
        <v>452</v>
      </c>
      <c r="M15" s="180"/>
      <c r="N15" s="180" t="s">
        <v>752</v>
      </c>
      <c r="R15" s="119"/>
      <c r="S15" s="120"/>
      <c r="T15" s="120"/>
      <c r="U15" s="119"/>
      <c r="V15" s="119"/>
      <c r="W15" s="120"/>
      <c r="X15" s="119"/>
      <c r="Y15" s="119"/>
      <c r="AO15" s="103">
        <v>9</v>
      </c>
      <c r="AP15" s="181">
        <v>-696454</v>
      </c>
      <c r="AQ15" s="103" t="s">
        <v>4241</v>
      </c>
      <c r="AR15" s="103" t="s">
        <v>4252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0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  <c r="AO16" s="103">
        <v>10</v>
      </c>
      <c r="AP16" s="181">
        <v>-2000000</v>
      </c>
      <c r="AQ16" s="103" t="s">
        <v>4265</v>
      </c>
      <c r="AR16" s="103" t="s">
        <v>4266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0" t="s">
        <v>453</v>
      </c>
      <c r="L17" s="121">
        <f>'مسکن علی سید الشهدا'!B85</f>
        <v>27903</v>
      </c>
      <c r="M17" s="180" t="s">
        <v>657</v>
      </c>
      <c r="N17" s="117">
        <f>سارا!D267</f>
        <v>-7785606</v>
      </c>
      <c r="P17" s="28"/>
      <c r="Q17" s="181">
        <v>74302282</v>
      </c>
      <c r="R17" s="180" t="s">
        <v>4038</v>
      </c>
      <c r="S17" s="180">
        <v>4</v>
      </c>
      <c r="T17" s="180" t="s">
        <v>4083</v>
      </c>
      <c r="U17" s="119"/>
      <c r="V17" s="119"/>
      <c r="W17" s="120"/>
      <c r="X17" s="119"/>
      <c r="Y17" s="119"/>
      <c r="AO17" s="103">
        <v>11</v>
      </c>
      <c r="AP17" s="181">
        <v>-3600000</v>
      </c>
      <c r="AQ17" s="103" t="s">
        <v>4265</v>
      </c>
      <c r="AR17" s="103" t="s">
        <v>4267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0" t="s">
        <v>683</v>
      </c>
      <c r="L18" s="121">
        <v>1000000</v>
      </c>
      <c r="M18" s="103" t="s">
        <v>4123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3">
        <v>12</v>
      </c>
      <c r="AP18" s="181">
        <v>-400000</v>
      </c>
      <c r="AQ18" s="103" t="s">
        <v>4274</v>
      </c>
      <c r="AR18" s="103" t="s">
        <v>4275</v>
      </c>
      <c r="AT18" s="100"/>
      <c r="AU18" s="100"/>
      <c r="AV18" s="100"/>
      <c r="AW18" s="100"/>
      <c r="AX18" s="100"/>
      <c r="AY18" s="100"/>
      <c r="AZ18" s="100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4194</v>
      </c>
      <c r="K19" s="180" t="s">
        <v>4207</v>
      </c>
      <c r="L19" s="121">
        <f>-مهر97!D54</f>
        <v>49784015</v>
      </c>
      <c r="M19" s="180" t="s">
        <v>4262</v>
      </c>
      <c r="N19" s="117">
        <f>48028*P33</f>
        <v>9783303.5999999996</v>
      </c>
      <c r="O19" s="178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4100</v>
      </c>
      <c r="AJ19" s="69" t="s">
        <v>4092</v>
      </c>
      <c r="AK19" s="69" t="s">
        <v>282</v>
      </c>
      <c r="AL19" s="103"/>
      <c r="AN19" s="100"/>
      <c r="AO19" s="103"/>
      <c r="AP19" s="181"/>
      <c r="AQ19" s="103"/>
      <c r="AR19" s="103"/>
      <c r="AT19" s="100"/>
      <c r="AU19" s="100"/>
      <c r="AV19" s="100"/>
      <c r="AW19" s="100"/>
      <c r="AX19" s="100"/>
      <c r="AY19" s="100"/>
      <c r="AZ19" s="100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4195</v>
      </c>
      <c r="K20" s="180"/>
      <c r="L20" s="121"/>
      <c r="M20" s="180" t="s">
        <v>4179</v>
      </c>
      <c r="N20" s="117">
        <f>109*P34</f>
        <v>105839</v>
      </c>
      <c r="O20" s="189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171</v>
      </c>
      <c r="AK20" s="117">
        <f>AH20*AJ20</f>
        <v>3078000000</v>
      </c>
      <c r="AL20" s="103"/>
      <c r="AN20" s="100"/>
      <c r="AO20" s="103"/>
      <c r="AP20" s="103"/>
      <c r="AQ20" s="103" t="s">
        <v>25</v>
      </c>
      <c r="AR20" s="103"/>
      <c r="AT20" s="100"/>
      <c r="AU20" s="100"/>
      <c r="AV20" s="100"/>
      <c r="AW20" s="100"/>
      <c r="AX20" s="100"/>
      <c r="AY20" s="100"/>
      <c r="AZ20" s="100"/>
    </row>
    <row r="21" spans="1:52" ht="21" x14ac:dyDescent="0.3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>
        <f>L45</f>
        <v>96777217</v>
      </c>
      <c r="G21" s="29">
        <f t="shared" si="0"/>
        <v>14177093.586118653</v>
      </c>
      <c r="H21" s="11" t="s">
        <v>4273</v>
      </c>
      <c r="J21" s="25"/>
      <c r="K21" s="180" t="s">
        <v>456</v>
      </c>
      <c r="L21" s="121">
        <v>160000</v>
      </c>
      <c r="M21" s="180" t="s">
        <v>4235</v>
      </c>
      <c r="N21" s="117">
        <f>235*P35</f>
        <v>61805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170</v>
      </c>
      <c r="AK21" s="117">
        <f t="shared" ref="AK21:AK79" si="5">AH21*AJ21</f>
        <v>425000000</v>
      </c>
      <c r="AL21" s="103"/>
      <c r="AN21" s="100"/>
      <c r="AO21" s="103"/>
      <c r="AP21" s="99">
        <f>SUM(AP7:AP20)</f>
        <v>35863546</v>
      </c>
      <c r="AQ21" s="103"/>
      <c r="AR21" s="193" t="s">
        <v>4276</v>
      </c>
      <c r="AT21" s="100"/>
      <c r="AU21" s="100"/>
      <c r="AV21" s="100"/>
      <c r="AW21" s="100"/>
      <c r="AX21" s="100"/>
      <c r="AY21" s="100"/>
      <c r="AZ21" s="100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0" t="s">
        <v>732</v>
      </c>
      <c r="L22" s="121">
        <v>0</v>
      </c>
      <c r="M22" s="180" t="s">
        <v>757</v>
      </c>
      <c r="N22" s="117">
        <v>3000000</v>
      </c>
      <c r="O22" s="22"/>
      <c r="P22" s="100"/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169</v>
      </c>
      <c r="AK22" s="117">
        <f t="shared" si="5"/>
        <v>1352000000</v>
      </c>
      <c r="AL22" s="103"/>
      <c r="AN22" s="100"/>
      <c r="AO22" s="103"/>
      <c r="AP22" s="103" t="s">
        <v>6</v>
      </c>
      <c r="AQ22" s="103"/>
      <c r="AR22" s="103"/>
      <c r="AT22" s="100"/>
      <c r="AU22" s="100"/>
      <c r="AV22" s="100"/>
      <c r="AW22" s="100"/>
      <c r="AX22" s="100"/>
      <c r="AY22" s="100"/>
      <c r="AZ22" s="100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0" t="s">
        <v>919</v>
      </c>
      <c r="L23" s="121">
        <v>4800000</v>
      </c>
      <c r="M23" s="180" t="s">
        <v>4208</v>
      </c>
      <c r="N23" s="117">
        <f>-1*L19</f>
        <v>-49784015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4096</v>
      </c>
      <c r="AH23" s="117">
        <v>-79552</v>
      </c>
      <c r="AI23" s="103">
        <v>1</v>
      </c>
      <c r="AJ23" s="103">
        <f t="shared" si="4"/>
        <v>168</v>
      </c>
      <c r="AK23" s="117">
        <f t="shared" si="5"/>
        <v>-13364736</v>
      </c>
      <c r="AL23" s="103"/>
      <c r="AN23" s="100"/>
      <c r="AR23"/>
      <c r="AT23" s="100"/>
      <c r="AU23" s="100"/>
      <c r="AV23" s="100"/>
      <c r="AW23" s="100"/>
      <c r="AX23" s="100"/>
      <c r="AY23" s="100"/>
      <c r="AZ23" s="100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0" t="s">
        <v>930</v>
      </c>
      <c r="L24" s="121">
        <v>0</v>
      </c>
      <c r="M24" s="180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167</v>
      </c>
      <c r="AK24" s="117">
        <f t="shared" si="5"/>
        <v>27638500</v>
      </c>
      <c r="AL24" s="103"/>
      <c r="AN24" s="100"/>
      <c r="AR24"/>
      <c r="AT24" s="100"/>
      <c r="AU24" s="100"/>
      <c r="AV24" s="100"/>
      <c r="AW24" s="100"/>
      <c r="AX24" s="100"/>
      <c r="AY24" s="100"/>
      <c r="AZ24" s="100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0" t="s">
        <v>1091</v>
      </c>
      <c r="L25" s="121">
        <f>سکه!T22</f>
        <v>91000000</v>
      </c>
      <c r="M25" s="180" t="s">
        <v>761</v>
      </c>
      <c r="N25" s="117">
        <v>1200000</v>
      </c>
      <c r="O25" t="s">
        <v>25</v>
      </c>
      <c r="P25" t="s">
        <v>4228</v>
      </c>
      <c r="Q25" t="s">
        <v>4227</v>
      </c>
      <c r="R25" s="119"/>
      <c r="S25" s="119"/>
      <c r="T25" s="119"/>
      <c r="U25" s="119"/>
      <c r="W25" s="119"/>
      <c r="X25" s="119"/>
      <c r="Y25" s="119"/>
      <c r="Z25" s="119"/>
      <c r="AA25" s="119"/>
      <c r="AB25" s="119"/>
      <c r="AC25" s="119"/>
      <c r="AD25" s="119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155</v>
      </c>
      <c r="AK25" s="117">
        <f t="shared" si="5"/>
        <v>-4468700685</v>
      </c>
      <c r="AL25" s="103"/>
      <c r="AN25" s="100"/>
      <c r="AR25" t="s">
        <v>25</v>
      </c>
      <c r="AT25" s="100"/>
      <c r="AU25" s="100"/>
      <c r="AV25" s="100"/>
      <c r="AW25" s="100"/>
      <c r="AX25" s="100"/>
      <c r="AY25" s="100"/>
      <c r="AZ25" s="100"/>
    </row>
    <row r="26" spans="1:52" ht="60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0" t="s">
        <v>4206</v>
      </c>
      <c r="L26" s="121">
        <v>-50000000</v>
      </c>
      <c r="M26" s="73" t="s">
        <v>3997</v>
      </c>
      <c r="N26" s="117">
        <v>2300000</v>
      </c>
      <c r="O26" s="22" t="s">
        <v>4109</v>
      </c>
      <c r="P26">
        <f>240000/3810000</f>
        <v>6.2992125984251968E-2</v>
      </c>
      <c r="Q26">
        <f>2260000/4754000</f>
        <v>0.47538914598233067</v>
      </c>
      <c r="W26" s="119"/>
      <c r="X26" s="119"/>
      <c r="Y26" s="119"/>
      <c r="Z26" s="119"/>
      <c r="AA26" s="119"/>
      <c r="AB26" s="119"/>
      <c r="AC26" s="119"/>
      <c r="AD26" s="119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149</v>
      </c>
      <c r="AK26" s="117">
        <f t="shared" si="5"/>
        <v>2756500000</v>
      </c>
      <c r="AL26" s="103"/>
      <c r="AN26" s="100"/>
      <c r="AT26" s="100"/>
      <c r="AU26" s="100"/>
      <c r="AV26" s="100"/>
      <c r="AW26" s="100"/>
      <c r="AX26" s="100"/>
      <c r="AY26" s="100"/>
      <c r="AZ26" s="100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0"/>
      <c r="L27" s="121"/>
      <c r="M27" s="180" t="s">
        <v>1091</v>
      </c>
      <c r="N27" s="117">
        <v>106500000</v>
      </c>
      <c r="W27" s="119"/>
      <c r="X27" s="119"/>
      <c r="Y27" s="119"/>
      <c r="Z27" s="119"/>
      <c r="AA27" s="119"/>
      <c r="AB27" s="119"/>
      <c r="AC27" s="119"/>
      <c r="AD27" s="119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148</v>
      </c>
      <c r="AK27" s="117">
        <f t="shared" si="5"/>
        <v>-2745400000</v>
      </c>
      <c r="AL27" s="103"/>
      <c r="AN27" s="100"/>
      <c r="AT27" s="100"/>
      <c r="AU27" s="100"/>
      <c r="AV27" s="100"/>
      <c r="AW27" s="100"/>
      <c r="AX27" s="100"/>
      <c r="AY27" s="100"/>
      <c r="AZ27" s="100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0"/>
      <c r="L28" s="121"/>
      <c r="M28" s="180" t="s">
        <v>4269</v>
      </c>
      <c r="N28" s="117">
        <v>-20000000</v>
      </c>
      <c r="V28" s="26"/>
      <c r="W28" s="119"/>
      <c r="X28" s="119"/>
      <c r="Y28" s="119"/>
      <c r="Z28" s="119"/>
      <c r="AA28" s="119"/>
      <c r="AB28" s="119"/>
      <c r="AC28" s="119"/>
      <c r="AD28" s="119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147</v>
      </c>
      <c r="AK28" s="117">
        <f t="shared" si="5"/>
        <v>-9549267</v>
      </c>
      <c r="AL28" s="103"/>
      <c r="AN28" s="100"/>
      <c r="AT28" s="100"/>
      <c r="AU28" s="100"/>
      <c r="AV28" s="100"/>
      <c r="AW28" s="100"/>
      <c r="AX28" s="100"/>
      <c r="AY28" s="100"/>
      <c r="AZ28" s="100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0"/>
      <c r="L29" s="121"/>
      <c r="M29" s="180" t="s">
        <v>4270</v>
      </c>
      <c r="N29" s="117">
        <v>-50000000</v>
      </c>
      <c r="O29" s="100"/>
      <c r="P29" s="100"/>
      <c r="V29" s="26"/>
      <c r="W29" s="119"/>
      <c r="X29" s="119"/>
      <c r="Y29" s="119"/>
      <c r="Z29" s="119"/>
      <c r="AA29" s="119"/>
      <c r="AB29" s="119"/>
      <c r="AC29" s="119"/>
      <c r="AD29" s="119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142</v>
      </c>
      <c r="AK29" s="117">
        <f t="shared" si="5"/>
        <v>908800000</v>
      </c>
      <c r="AL29" s="103"/>
      <c r="AN29" s="100"/>
      <c r="AT29" s="100"/>
      <c r="AU29" s="100"/>
      <c r="AV29" s="100"/>
      <c r="AW29" s="100"/>
      <c r="AX29" s="100"/>
      <c r="AY29" s="100"/>
      <c r="AZ29" s="100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0" t="s">
        <v>3922</v>
      </c>
      <c r="N30" s="117">
        <v>75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19"/>
      <c r="X30" s="119"/>
      <c r="Y30" s="119"/>
      <c r="Z30" s="119"/>
      <c r="AA30" s="119"/>
      <c r="AB30" s="119"/>
      <c r="AC30" s="119"/>
      <c r="AD30" s="119"/>
      <c r="AF30" s="103">
        <v>11</v>
      </c>
      <c r="AG30" s="117" t="s">
        <v>4097</v>
      </c>
      <c r="AH30" s="117">
        <v>-170000</v>
      </c>
      <c r="AI30" s="103">
        <v>5</v>
      </c>
      <c r="AJ30" s="103">
        <f t="shared" si="4"/>
        <v>141</v>
      </c>
      <c r="AK30" s="117">
        <f t="shared" si="5"/>
        <v>-23970000</v>
      </c>
      <c r="AL30" s="103"/>
      <c r="AN30" s="100"/>
      <c r="AT30" s="100"/>
      <c r="AU30" s="100"/>
      <c r="AV30" s="100"/>
      <c r="AW30" s="100"/>
      <c r="AX30" s="100"/>
      <c r="AY30" s="100"/>
      <c r="AZ30" s="100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180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19"/>
      <c r="X31" s="119"/>
      <c r="Y31" s="119"/>
      <c r="Z31" s="119"/>
      <c r="AA31" s="119"/>
      <c r="AB31" s="119"/>
      <c r="AC31" s="119"/>
      <c r="AD31" s="119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136</v>
      </c>
      <c r="AK31" s="117">
        <f t="shared" si="5"/>
        <v>-856800000</v>
      </c>
      <c r="AL31" s="103"/>
      <c r="AN31" s="100"/>
      <c r="AT31" s="100"/>
      <c r="AU31" s="100"/>
      <c r="AV31" s="100"/>
      <c r="AW31" s="100"/>
      <c r="AX31" s="100"/>
      <c r="AY31" s="100"/>
      <c r="AZ31" s="100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81">
        <v>53805</v>
      </c>
      <c r="R32" s="116" t="s">
        <v>4184</v>
      </c>
      <c r="S32" s="116">
        <v>12</v>
      </c>
      <c r="T32" s="116" t="s">
        <v>4185</v>
      </c>
      <c r="U32" s="117">
        <f t="shared" ref="U32" si="6">Q32*0.02*S32/31</f>
        <v>416.55483870967737</v>
      </c>
      <c r="V32" s="26"/>
      <c r="W32" s="119"/>
      <c r="X32" s="119"/>
      <c r="Y32" s="119"/>
      <c r="Z32" s="119"/>
      <c r="AA32" s="119"/>
      <c r="AB32" s="119"/>
      <c r="AC32" s="119"/>
      <c r="AD32" s="119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135</v>
      </c>
      <c r="AK32" s="117">
        <f t="shared" si="5"/>
        <v>-7022025</v>
      </c>
      <c r="AL32" s="103"/>
      <c r="AN32" s="100"/>
      <c r="AT32" s="100"/>
      <c r="AU32" s="100"/>
      <c r="AV32" s="100"/>
      <c r="AW32" s="100"/>
      <c r="AX32" s="100"/>
      <c r="AY32" s="100"/>
      <c r="AZ32" s="100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80" t="s">
        <v>4248</v>
      </c>
      <c r="N33" s="117">
        <f>O33*P33</f>
        <v>259109659.19999999</v>
      </c>
      <c r="O33" s="103">
        <v>1272016</v>
      </c>
      <c r="P33" s="103">
        <v>203.7</v>
      </c>
      <c r="Q33" s="181">
        <v>40131</v>
      </c>
      <c r="R33" s="180" t="s">
        <v>4232</v>
      </c>
      <c r="S33" s="180">
        <f>S32-11</f>
        <v>1</v>
      </c>
      <c r="T33" s="180" t="s">
        <v>4237</v>
      </c>
      <c r="W33" s="119"/>
      <c r="X33" s="119"/>
      <c r="Y33" s="119"/>
      <c r="Z33" s="119"/>
      <c r="AA33" s="119"/>
      <c r="AB33" s="119"/>
      <c r="AC33" s="119"/>
      <c r="AD33" s="119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119</v>
      </c>
      <c r="AK33" s="117">
        <f t="shared" si="5"/>
        <v>2382070600</v>
      </c>
      <c r="AL33" s="103"/>
      <c r="AN33" s="100"/>
      <c r="AT33" s="100"/>
      <c r="AU33" s="100"/>
      <c r="AV33" s="100"/>
      <c r="AW33" s="100"/>
      <c r="AX33" s="100"/>
      <c r="AY33" s="100"/>
      <c r="AZ33" s="100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0" t="s">
        <v>4212</v>
      </c>
      <c r="N34" s="117">
        <f>O34*P34</f>
        <v>105839</v>
      </c>
      <c r="O34" s="190">
        <v>109</v>
      </c>
      <c r="P34" s="103">
        <v>971</v>
      </c>
      <c r="Q34" s="181">
        <v>244702685</v>
      </c>
      <c r="R34" s="180" t="s">
        <v>4241</v>
      </c>
      <c r="S34" s="180">
        <f>S33-1</f>
        <v>0</v>
      </c>
      <c r="T34" s="180" t="s">
        <v>4256</v>
      </c>
      <c r="W34" s="119"/>
      <c r="X34" s="119"/>
      <c r="Y34" s="119"/>
      <c r="Z34" s="119"/>
      <c r="AA34" s="119"/>
      <c r="AB34" s="119"/>
      <c r="AC34" s="119"/>
      <c r="AD34" s="119"/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119</v>
      </c>
      <c r="AK34" s="117">
        <f t="shared" si="5"/>
        <v>120721454</v>
      </c>
      <c r="AL34" s="103"/>
      <c r="AN34" s="100"/>
      <c r="AT34" s="100"/>
      <c r="AU34" s="100"/>
      <c r="AV34" s="100"/>
      <c r="AW34" s="100"/>
      <c r="AX34" s="100"/>
      <c r="AY34" s="100"/>
      <c r="AZ34" s="100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56"/>
      <c r="L35" s="121"/>
      <c r="M35" s="8" t="s">
        <v>4236</v>
      </c>
      <c r="N35" s="117">
        <f>O35*P35</f>
        <v>61805</v>
      </c>
      <c r="O35" s="177">
        <v>235</v>
      </c>
      <c r="P35" s="103">
        <v>263</v>
      </c>
      <c r="Q35" s="181"/>
      <c r="R35" s="180"/>
      <c r="S35" s="180"/>
      <c r="T35" s="180"/>
      <c r="U35" s="100"/>
      <c r="W35" s="119"/>
      <c r="X35" s="119"/>
      <c r="Y35" s="119"/>
      <c r="Z35" s="119"/>
      <c r="AA35" s="119"/>
      <c r="AB35" s="119"/>
      <c r="AC35" s="119"/>
      <c r="AD35" s="119"/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107</v>
      </c>
      <c r="AK35" s="117">
        <f t="shared" si="5"/>
        <v>38520000</v>
      </c>
      <c r="AL35" s="103"/>
      <c r="AN35" s="100"/>
      <c r="AT35" s="100"/>
      <c r="AU35" s="100"/>
      <c r="AV35" s="100"/>
      <c r="AW35" s="100"/>
      <c r="AX35" s="100"/>
      <c r="AY35" s="100"/>
      <c r="AZ35" s="100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17">
        <f>SUM(N31:N36)-SUM(Q32:Q34)</f>
        <v>14480682.199999988</v>
      </c>
      <c r="R36" s="116"/>
      <c r="S36" s="116"/>
      <c r="T36" s="116"/>
      <c r="U36" s="100"/>
      <c r="W36" s="119"/>
      <c r="X36" s="119"/>
      <c r="Y36" s="119"/>
      <c r="Z36" s="119"/>
      <c r="AA36" s="119"/>
      <c r="AB36" s="119"/>
      <c r="AC36" s="119"/>
      <c r="AD36" s="119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105</v>
      </c>
      <c r="AK36" s="117">
        <f t="shared" si="5"/>
        <v>-36750000</v>
      </c>
      <c r="AL36" s="103"/>
      <c r="AN36" s="100"/>
      <c r="AT36" s="100"/>
      <c r="AU36" s="100"/>
      <c r="AV36" s="100"/>
      <c r="AW36" s="100"/>
      <c r="AX36" s="100"/>
      <c r="AY36" s="100"/>
      <c r="AZ36" s="100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56"/>
      <c r="L37" s="121"/>
      <c r="M37" s="103" t="s">
        <v>4271</v>
      </c>
      <c r="N37" s="117">
        <f>O37*P37</f>
        <v>3725673</v>
      </c>
      <c r="O37" s="103">
        <v>18290</v>
      </c>
      <c r="P37" s="103">
        <f>P33</f>
        <v>203.7</v>
      </c>
      <c r="R37" t="s">
        <v>25</v>
      </c>
      <c r="T37" t="s">
        <v>25</v>
      </c>
      <c r="U37" s="100"/>
      <c r="W37" s="119"/>
      <c r="X37" s="119"/>
      <c r="Y37" s="119"/>
      <c r="Z37" s="119"/>
      <c r="AA37" s="119"/>
      <c r="AB37" s="119"/>
      <c r="AC37" s="119"/>
      <c r="AD37" s="119"/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105</v>
      </c>
      <c r="AK37" s="117">
        <f t="shared" si="5"/>
        <v>105000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103"/>
      <c r="L38" s="103"/>
      <c r="M38" s="73"/>
      <c r="N38" s="121"/>
      <c r="Q38" t="s">
        <v>25</v>
      </c>
      <c r="R38" t="s">
        <v>25</v>
      </c>
      <c r="T38" t="s">
        <v>25</v>
      </c>
      <c r="U38" s="100"/>
      <c r="W38" s="119"/>
      <c r="X38" s="119"/>
      <c r="Y38" s="119"/>
      <c r="Z38" s="119"/>
      <c r="AA38" s="119"/>
      <c r="AB38" s="119"/>
      <c r="AC38" s="119"/>
      <c r="AD38" s="119"/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104</v>
      </c>
      <c r="AK38" s="117">
        <f t="shared" si="5"/>
        <v>3495440000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9"/>
      <c r="X39" s="119"/>
      <c r="Y39" s="119"/>
      <c r="Z39" s="119"/>
      <c r="AA39" s="119"/>
      <c r="AB39" s="119"/>
      <c r="AC39" s="119"/>
      <c r="AD39" s="119"/>
      <c r="AF39" s="103">
        <v>20</v>
      </c>
      <c r="AG39" s="117" t="s">
        <v>4098</v>
      </c>
      <c r="AH39" s="117">
        <v>-15600000</v>
      </c>
      <c r="AI39" s="103">
        <v>3</v>
      </c>
      <c r="AJ39" s="103">
        <f t="shared" si="4"/>
        <v>100</v>
      </c>
      <c r="AK39" s="117">
        <f t="shared" si="5"/>
        <v>-1560000000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K40" s="103"/>
      <c r="L40" s="103"/>
      <c r="M40" s="180" t="s">
        <v>1179</v>
      </c>
      <c r="N40" s="121">
        <v>14908</v>
      </c>
      <c r="O40" s="100" t="s">
        <v>25</v>
      </c>
      <c r="P40" t="s">
        <v>25</v>
      </c>
      <c r="T40" t="s">
        <v>1021</v>
      </c>
      <c r="U40">
        <v>4.8999999999999998E-3</v>
      </c>
      <c r="V40"/>
      <c r="W40" s="119"/>
      <c r="X40" s="119"/>
      <c r="Y40" s="119"/>
      <c r="Z40" s="119"/>
      <c r="AA40" s="119"/>
      <c r="AB40" s="119"/>
      <c r="AC40" s="119"/>
      <c r="AD40" s="119"/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97</v>
      </c>
      <c r="AK40" s="117">
        <f t="shared" si="5"/>
        <v>727500000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K41" s="103"/>
      <c r="L41" s="103"/>
      <c r="M41" s="180" t="s">
        <v>1180</v>
      </c>
      <c r="N41" s="121">
        <v>5282</v>
      </c>
      <c r="O41" s="100"/>
      <c r="T41" t="s">
        <v>6</v>
      </c>
      <c r="U41">
        <f>U39+U40</f>
        <v>1.12E-2</v>
      </c>
      <c r="V41"/>
      <c r="W41" s="119"/>
      <c r="X41" s="119"/>
      <c r="Y41" s="119"/>
      <c r="Z41" s="119"/>
      <c r="AA41" s="119" t="s">
        <v>25</v>
      </c>
      <c r="AB41" s="119"/>
      <c r="AC41" s="119"/>
      <c r="AD41" s="119"/>
      <c r="AF41" s="103">
        <v>22</v>
      </c>
      <c r="AG41" s="117" t="s">
        <v>4099</v>
      </c>
      <c r="AH41" s="117">
        <v>-98000</v>
      </c>
      <c r="AI41" s="103">
        <v>1</v>
      </c>
      <c r="AJ41" s="103">
        <f t="shared" si="4"/>
        <v>93</v>
      </c>
      <c r="AK41" s="117">
        <f t="shared" si="5"/>
        <v>-9114000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K42" s="180"/>
      <c r="L42" s="121"/>
      <c r="M42" s="180" t="s">
        <v>4249</v>
      </c>
      <c r="N42" s="117">
        <f>-O42*P33</f>
        <v>-38583835.5</v>
      </c>
      <c r="O42" s="103">
        <v>189415</v>
      </c>
      <c r="P42" s="103">
        <f>P33</f>
        <v>203.7</v>
      </c>
      <c r="R42" t="s">
        <v>25</v>
      </c>
      <c r="U42" s="100"/>
      <c r="AB42" t="s">
        <v>25</v>
      </c>
      <c r="AC42" t="s">
        <v>25</v>
      </c>
      <c r="AF42" s="103">
        <v>23</v>
      </c>
      <c r="AG42" s="117" t="s">
        <v>4093</v>
      </c>
      <c r="AH42" s="117">
        <v>-26000000</v>
      </c>
      <c r="AI42" s="103">
        <v>0</v>
      </c>
      <c r="AJ42" s="103">
        <f t="shared" si="4"/>
        <v>92</v>
      </c>
      <c r="AK42" s="117">
        <f t="shared" si="5"/>
        <v>-2392000000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K43" s="180" t="s">
        <v>25</v>
      </c>
      <c r="L43" s="121"/>
      <c r="M43" s="180" t="s">
        <v>4250</v>
      </c>
      <c r="N43" s="117">
        <f>-O43*P43</f>
        <v>-18821472.599999998</v>
      </c>
      <c r="O43" s="103">
        <v>92398</v>
      </c>
      <c r="P43" s="103">
        <f>P42</f>
        <v>203.7</v>
      </c>
      <c r="U43" t="s">
        <v>4164</v>
      </c>
      <c r="V43"/>
      <c r="AF43" s="103">
        <v>24</v>
      </c>
      <c r="AG43" s="117" t="s">
        <v>4093</v>
      </c>
      <c r="AH43" s="117">
        <v>25000000</v>
      </c>
      <c r="AI43" s="103">
        <v>1</v>
      </c>
      <c r="AJ43" s="103">
        <f t="shared" si="4"/>
        <v>92</v>
      </c>
      <c r="AK43" s="117">
        <f t="shared" si="5"/>
        <v>2300000000</v>
      </c>
      <c r="AL43" s="103"/>
      <c r="AN43" s="100"/>
      <c r="AO43" s="103" t="s">
        <v>1080</v>
      </c>
      <c r="AP43" s="103" t="s">
        <v>267</v>
      </c>
      <c r="AQ43" s="103" t="s">
        <v>180</v>
      </c>
      <c r="AR43" s="103"/>
      <c r="AT43" s="100"/>
      <c r="AU43" s="100"/>
      <c r="AV43" s="100"/>
      <c r="AW43" s="100"/>
      <c r="AX43" s="100"/>
      <c r="AY43" s="100"/>
      <c r="AZ43" s="100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180"/>
      <c r="L44" s="121"/>
      <c r="M44" s="180"/>
      <c r="N44" s="117"/>
      <c r="O44" s="100"/>
      <c r="P44" s="100"/>
      <c r="U44" t="s">
        <v>4165</v>
      </c>
      <c r="V44">
        <v>2.6199999999999999E-3</v>
      </c>
      <c r="AF44" s="103">
        <v>25</v>
      </c>
      <c r="AG44" s="117" t="s">
        <v>4094</v>
      </c>
      <c r="AH44" s="117">
        <v>110000</v>
      </c>
      <c r="AI44" s="103">
        <v>1</v>
      </c>
      <c r="AJ44" s="103">
        <f t="shared" si="4"/>
        <v>91</v>
      </c>
      <c r="AK44" s="117">
        <f t="shared" si="5"/>
        <v>10010000</v>
      </c>
      <c r="AL44" s="103"/>
      <c r="AO44" s="103">
        <v>1</v>
      </c>
      <c r="AP44" s="181">
        <v>5000000</v>
      </c>
      <c r="AQ44" s="103" t="s">
        <v>4210</v>
      </c>
      <c r="AR44" s="103" t="s">
        <v>4253</v>
      </c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80" t="s">
        <v>598</v>
      </c>
      <c r="L45" s="117">
        <f>SUM(L16:L38)</f>
        <v>96777217</v>
      </c>
      <c r="M45" s="180"/>
      <c r="N45" s="117">
        <f>SUM(N16:N44)</f>
        <v>201553259.69999999</v>
      </c>
      <c r="O45" t="s">
        <v>25</v>
      </c>
      <c r="U45" t="s">
        <v>4166</v>
      </c>
      <c r="V45">
        <v>2.7799999999999999E-3</v>
      </c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90</v>
      </c>
      <c r="AK45" s="117">
        <f t="shared" si="5"/>
        <v>34200000</v>
      </c>
      <c r="AL45" s="103"/>
      <c r="AO45" s="103">
        <v>2</v>
      </c>
      <c r="AP45" s="181">
        <v>13000000</v>
      </c>
      <c r="AQ45" s="103" t="s">
        <v>4222</v>
      </c>
      <c r="AR45" s="103" t="s">
        <v>4254</v>
      </c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80" t="s">
        <v>599</v>
      </c>
      <c r="L46" s="117">
        <f>L16+L17+L21</f>
        <v>193202</v>
      </c>
      <c r="M46" s="180"/>
      <c r="N46" s="117">
        <f>N16+N17+N24</f>
        <v>-7267301</v>
      </c>
      <c r="U46" t="s">
        <v>4167</v>
      </c>
      <c r="V46" t="s">
        <v>4168</v>
      </c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83</v>
      </c>
      <c r="AK46" s="117">
        <f t="shared" si="5"/>
        <v>37350000</v>
      </c>
      <c r="AL46" s="103"/>
      <c r="AO46" s="103">
        <v>3</v>
      </c>
      <c r="AP46" s="181">
        <v>-168093</v>
      </c>
      <c r="AQ46" s="103" t="s">
        <v>4241</v>
      </c>
      <c r="AR46" s="103" t="s">
        <v>4255</v>
      </c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56" t="s">
        <v>716</v>
      </c>
      <c r="L47" s="1">
        <f>L45+N7</f>
        <v>166777217</v>
      </c>
      <c r="M47" s="117"/>
      <c r="N47" s="180"/>
      <c r="O47" s="22"/>
      <c r="P47" t="s">
        <v>25</v>
      </c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77</v>
      </c>
      <c r="AK47" s="117">
        <f t="shared" si="5"/>
        <v>215600000</v>
      </c>
      <c r="AL47" s="103"/>
      <c r="AO47" s="103"/>
      <c r="AP47" s="181"/>
      <c r="AQ47" s="103"/>
      <c r="AR47" s="103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M48" t="s">
        <v>4110</v>
      </c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76</v>
      </c>
      <c r="AK48" s="117">
        <f t="shared" si="5"/>
        <v>-114000000</v>
      </c>
      <c r="AL48" s="103"/>
      <c r="AO48" s="103"/>
      <c r="AP48" s="181"/>
      <c r="AQ48" s="103"/>
      <c r="AR48" s="103"/>
    </row>
    <row r="49" spans="1:44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M49" s="25" t="s">
        <v>4157</v>
      </c>
      <c r="O49" t="s">
        <v>25</v>
      </c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76</v>
      </c>
      <c r="AK49" s="117">
        <f t="shared" si="5"/>
        <v>231800000</v>
      </c>
      <c r="AL49" s="103"/>
      <c r="AO49" s="103"/>
      <c r="AP49" s="181"/>
      <c r="AQ49" s="103"/>
      <c r="AR49" s="103"/>
    </row>
    <row r="50" spans="1:44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M50" s="25" t="s">
        <v>4125</v>
      </c>
      <c r="P50" t="s">
        <v>25</v>
      </c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73</v>
      </c>
      <c r="AK50" s="117">
        <f t="shared" si="5"/>
        <v>-605871676</v>
      </c>
      <c r="AL50" s="103"/>
      <c r="AO50" s="103"/>
      <c r="AP50" s="181"/>
      <c r="AQ50" s="103"/>
      <c r="AR50" s="103"/>
    </row>
    <row r="51" spans="1:44" ht="30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M51" s="189" t="s">
        <v>4161</v>
      </c>
      <c r="Q51" s="116" t="s">
        <v>1138</v>
      </c>
      <c r="R51" s="116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71</v>
      </c>
      <c r="AK51" s="117">
        <f t="shared" si="5"/>
        <v>355000000</v>
      </c>
      <c r="AL51" s="103"/>
      <c r="AO51" s="103"/>
      <c r="AP51" s="181"/>
      <c r="AQ51" s="103"/>
      <c r="AR51" s="103"/>
    </row>
    <row r="52" spans="1:44" ht="18.75" x14ac:dyDescent="0.3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3"/>
      <c r="L52" s="11" t="s">
        <v>304</v>
      </c>
      <c r="M52" s="126"/>
      <c r="N52" s="100"/>
      <c r="Q52" s="116" t="s">
        <v>267</v>
      </c>
      <c r="R52" s="116" t="s">
        <v>1153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57</v>
      </c>
      <c r="AK52" s="117">
        <f t="shared" si="5"/>
        <v>-5130000</v>
      </c>
      <c r="AL52" s="103"/>
      <c r="AO52" s="103"/>
      <c r="AP52" s="181">
        <f>SUM(AP44:AP50)</f>
        <v>17831907</v>
      </c>
      <c r="AQ52" s="103"/>
      <c r="AR52" s="192" t="s">
        <v>4260</v>
      </c>
    </row>
    <row r="53" spans="1:44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1" t="s">
        <v>305</v>
      </c>
      <c r="L53" s="1">
        <v>70000</v>
      </c>
      <c r="M53" s="126"/>
      <c r="N53" s="100" t="s">
        <v>25</v>
      </c>
      <c r="Q53" s="14">
        <v>110000</v>
      </c>
      <c r="R53" s="116" t="s">
        <v>1154</v>
      </c>
      <c r="AB53" t="s">
        <v>25</v>
      </c>
      <c r="AF53" s="103">
        <v>34</v>
      </c>
      <c r="AG53" s="117" t="s">
        <v>4095</v>
      </c>
      <c r="AH53" s="117">
        <v>5600000</v>
      </c>
      <c r="AI53" s="103">
        <v>4</v>
      </c>
      <c r="AJ53" s="103">
        <f t="shared" si="4"/>
        <v>56</v>
      </c>
      <c r="AK53" s="117">
        <f t="shared" si="5"/>
        <v>313600000</v>
      </c>
      <c r="AL53" s="103"/>
      <c r="AO53" s="103"/>
      <c r="AP53" s="103" t="s">
        <v>6</v>
      </c>
      <c r="AQ53" s="103"/>
      <c r="AR53" s="103"/>
    </row>
    <row r="54" spans="1:44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1" t="s">
        <v>321</v>
      </c>
      <c r="L54" s="1">
        <v>100000</v>
      </c>
      <c r="M54" s="126"/>
      <c r="Q54" s="14">
        <v>-7000000</v>
      </c>
      <c r="R54" s="116" t="s">
        <v>1155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52</v>
      </c>
      <c r="AK54" s="117">
        <f t="shared" si="5"/>
        <v>39000000</v>
      </c>
      <c r="AL54" s="103"/>
    </row>
    <row r="55" spans="1:44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1" t="s">
        <v>306</v>
      </c>
      <c r="L55" s="1">
        <v>80000</v>
      </c>
      <c r="M55" s="126"/>
      <c r="Q55" s="14">
        <f>سارا!C267</f>
        <v>7906317</v>
      </c>
      <c r="R55" s="116" t="s">
        <v>1156</v>
      </c>
      <c r="AF55" s="183">
        <v>36</v>
      </c>
      <c r="AG55" s="182" t="s">
        <v>4032</v>
      </c>
      <c r="AH55" s="182">
        <v>-4242000</v>
      </c>
      <c r="AI55" s="183">
        <v>2</v>
      </c>
      <c r="AJ55" s="183">
        <f t="shared" si="4"/>
        <v>50</v>
      </c>
      <c r="AK55" s="182">
        <f t="shared" si="5"/>
        <v>-212100000</v>
      </c>
      <c r="AL55" s="183" t="s">
        <v>4104</v>
      </c>
    </row>
    <row r="56" spans="1:44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1" t="s">
        <v>307</v>
      </c>
      <c r="L56" s="1">
        <v>150000</v>
      </c>
      <c r="M56" s="100"/>
      <c r="Q56" s="14">
        <f>N19+N20</f>
        <v>9889142.5999999996</v>
      </c>
      <c r="R56" s="56" t="s">
        <v>3749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48</v>
      </c>
      <c r="AK56" s="117">
        <f t="shared" si="5"/>
        <v>196800000</v>
      </c>
      <c r="AL56" s="103"/>
    </row>
    <row r="57" spans="1:44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1" t="s">
        <v>308</v>
      </c>
      <c r="L57" s="1">
        <v>300000</v>
      </c>
      <c r="M57" s="100"/>
      <c r="Q57" s="14">
        <v>1200000</v>
      </c>
      <c r="R57" s="56" t="s">
        <v>1157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48</v>
      </c>
      <c r="AK57" s="117">
        <f t="shared" si="5"/>
        <v>196800000</v>
      </c>
      <c r="AL57" s="103"/>
    </row>
    <row r="58" spans="1:44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1" t="s">
        <v>309</v>
      </c>
      <c r="L58" s="1">
        <v>100000</v>
      </c>
      <c r="M58" s="100"/>
      <c r="Q58" s="121">
        <v>118000000</v>
      </c>
      <c r="R58" s="56" t="s">
        <v>4111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47</v>
      </c>
      <c r="AK58" s="117">
        <f t="shared" si="5"/>
        <v>37130000</v>
      </c>
      <c r="AL58" s="103"/>
    </row>
    <row r="59" spans="1:44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1" t="s">
        <v>310</v>
      </c>
      <c r="L59" s="1">
        <v>200000</v>
      </c>
      <c r="M59" s="100"/>
      <c r="Q59" s="121">
        <f>N26</f>
        <v>2300000</v>
      </c>
      <c r="R59" s="56" t="s">
        <v>4193</v>
      </c>
      <c r="AF59" s="183">
        <v>40</v>
      </c>
      <c r="AG59" s="182" t="s">
        <v>4078</v>
      </c>
      <c r="AH59" s="182">
        <v>-3865000</v>
      </c>
      <c r="AI59" s="183">
        <v>6</v>
      </c>
      <c r="AJ59" s="183">
        <f t="shared" si="4"/>
        <v>32</v>
      </c>
      <c r="AK59" s="184">
        <f t="shared" si="5"/>
        <v>-123680000</v>
      </c>
      <c r="AL59" s="183" t="s">
        <v>4105</v>
      </c>
    </row>
    <row r="60" spans="1:44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18" t="s">
        <v>311</v>
      </c>
      <c r="L60" s="18">
        <v>300000</v>
      </c>
      <c r="M60" s="100"/>
      <c r="Q60" s="121">
        <v>-44103000</v>
      </c>
      <c r="R60" s="56" t="s">
        <v>4192</v>
      </c>
      <c r="AF60" s="20">
        <v>41</v>
      </c>
      <c r="AG60" s="121" t="s">
        <v>4112</v>
      </c>
      <c r="AH60" s="121">
        <v>18800000</v>
      </c>
      <c r="AI60" s="20">
        <v>3</v>
      </c>
      <c r="AJ60" s="103">
        <f t="shared" si="4"/>
        <v>26</v>
      </c>
      <c r="AK60" s="117">
        <f t="shared" si="5"/>
        <v>488800000</v>
      </c>
      <c r="AL60" s="20"/>
    </row>
    <row r="61" spans="1:44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312</v>
      </c>
      <c r="L61" s="1">
        <v>200000</v>
      </c>
      <c r="M61" s="100"/>
      <c r="N61" s="100"/>
      <c r="O61" s="100"/>
      <c r="Q61" s="14">
        <v>2500000</v>
      </c>
      <c r="R61" s="56" t="s">
        <v>1149</v>
      </c>
      <c r="AF61" s="20">
        <v>42</v>
      </c>
      <c r="AG61" s="121" t="s">
        <v>4129</v>
      </c>
      <c r="AH61" s="121">
        <v>500000</v>
      </c>
      <c r="AI61" s="20">
        <v>1</v>
      </c>
      <c r="AJ61" s="103">
        <f t="shared" si="4"/>
        <v>23</v>
      </c>
      <c r="AK61" s="117">
        <f t="shared" si="5"/>
        <v>11500000</v>
      </c>
      <c r="AL61" s="20"/>
    </row>
    <row r="62" spans="1:44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313</v>
      </c>
      <c r="L62" s="1">
        <v>20000</v>
      </c>
      <c r="M62" s="100"/>
      <c r="N62" s="100"/>
      <c r="O62" s="100"/>
      <c r="Q62" s="121">
        <v>1200000</v>
      </c>
      <c r="R62" s="56" t="s">
        <v>3939</v>
      </c>
      <c r="AF62" s="20">
        <v>43</v>
      </c>
      <c r="AG62" s="121" t="s">
        <v>4133</v>
      </c>
      <c r="AH62" s="121">
        <v>200000</v>
      </c>
      <c r="AI62" s="20">
        <v>3</v>
      </c>
      <c r="AJ62" s="103">
        <f>AJ63+AI62</f>
        <v>22</v>
      </c>
      <c r="AK62" s="117">
        <f t="shared" si="5"/>
        <v>4400000</v>
      </c>
      <c r="AL62" s="20"/>
    </row>
    <row r="63" spans="1:44" x14ac:dyDescent="0.25">
      <c r="E63" s="26"/>
      <c r="K63" s="32" t="s">
        <v>315</v>
      </c>
      <c r="L63" s="1">
        <v>50000</v>
      </c>
      <c r="M63" s="100"/>
      <c r="N63" s="100"/>
      <c r="O63" s="100"/>
      <c r="Q63" s="14">
        <f>N40</f>
        <v>14908</v>
      </c>
      <c r="R63" s="56" t="s">
        <v>1138</v>
      </c>
      <c r="AF63" s="20">
        <v>44</v>
      </c>
      <c r="AG63" s="121" t="s">
        <v>4140</v>
      </c>
      <c r="AH63" s="121">
        <v>1000000</v>
      </c>
      <c r="AI63" s="20">
        <v>3</v>
      </c>
      <c r="AJ63" s="103">
        <f t="shared" si="4"/>
        <v>19</v>
      </c>
      <c r="AK63" s="117">
        <f t="shared" si="5"/>
        <v>19000000</v>
      </c>
      <c r="AL63" s="20"/>
    </row>
    <row r="64" spans="1:44" x14ac:dyDescent="0.25">
      <c r="E64" s="26"/>
      <c r="K64" s="32" t="s">
        <v>316</v>
      </c>
      <c r="L64" s="1">
        <v>90000</v>
      </c>
      <c r="M64" s="100"/>
      <c r="N64" s="100"/>
      <c r="O64" s="100"/>
      <c r="Q64" s="121"/>
      <c r="R64" s="56"/>
      <c r="AF64" s="20">
        <v>45</v>
      </c>
      <c r="AG64" s="121" t="s">
        <v>4152</v>
      </c>
      <c r="AH64" s="121">
        <v>1300000</v>
      </c>
      <c r="AI64" s="20">
        <v>0</v>
      </c>
      <c r="AJ64" s="103">
        <f>AJ65+AI64</f>
        <v>16</v>
      </c>
      <c r="AK64" s="117">
        <f t="shared" si="5"/>
        <v>20800000</v>
      </c>
      <c r="AL64" s="20"/>
    </row>
    <row r="65" spans="1:38" x14ac:dyDescent="0.25">
      <c r="K65" s="32" t="s">
        <v>317</v>
      </c>
      <c r="L65" s="1">
        <v>50000</v>
      </c>
      <c r="M65" s="100"/>
      <c r="N65" s="100"/>
      <c r="O65" s="100"/>
      <c r="Q65" s="121"/>
      <c r="R65" s="56"/>
      <c r="AF65" s="20">
        <v>45</v>
      </c>
      <c r="AG65" s="121" t="s">
        <v>4152</v>
      </c>
      <c r="AH65" s="121">
        <v>995000</v>
      </c>
      <c r="AI65" s="20">
        <v>2</v>
      </c>
      <c r="AJ65" s="103">
        <f t="shared" ref="AJ65:AJ79" si="10">AJ66+AI65</f>
        <v>16</v>
      </c>
      <c r="AK65" s="117">
        <f t="shared" si="5"/>
        <v>15920000</v>
      </c>
      <c r="AL65" s="20"/>
    </row>
    <row r="66" spans="1:38" x14ac:dyDescent="0.25">
      <c r="K66" s="32" t="s">
        <v>327</v>
      </c>
      <c r="L66" s="1">
        <v>150000</v>
      </c>
      <c r="M66" s="100"/>
      <c r="N66" s="100"/>
      <c r="O66" s="100"/>
      <c r="Q66" s="121"/>
      <c r="R66" s="56"/>
      <c r="S66" s="119"/>
      <c r="T66" s="119"/>
      <c r="AF66" s="20">
        <v>46</v>
      </c>
      <c r="AG66" s="121" t="s">
        <v>4169</v>
      </c>
      <c r="AH66" s="121">
        <v>13000000</v>
      </c>
      <c r="AI66" s="20">
        <v>2</v>
      </c>
      <c r="AJ66" s="103">
        <f t="shared" si="10"/>
        <v>14</v>
      </c>
      <c r="AK66" s="117">
        <f t="shared" si="5"/>
        <v>182000000</v>
      </c>
      <c r="AL66" s="20"/>
    </row>
    <row r="67" spans="1:38" x14ac:dyDescent="0.25">
      <c r="A67" t="s">
        <v>25</v>
      </c>
      <c r="F67" t="s">
        <v>310</v>
      </c>
      <c r="G67" t="s">
        <v>4144</v>
      </c>
      <c r="K67" s="32" t="s">
        <v>318</v>
      </c>
      <c r="L67" s="1">
        <v>15000</v>
      </c>
      <c r="N67" s="100"/>
      <c r="Q67" s="121"/>
      <c r="R67" s="56"/>
      <c r="S67" s="119"/>
      <c r="T67" s="119"/>
      <c r="AF67" s="20">
        <v>47</v>
      </c>
      <c r="AG67" s="121" t="s">
        <v>4183</v>
      </c>
      <c r="AH67" s="121">
        <v>-3100000</v>
      </c>
      <c r="AI67" s="20">
        <v>3</v>
      </c>
      <c r="AJ67" s="103">
        <f t="shared" si="10"/>
        <v>12</v>
      </c>
      <c r="AK67" s="117">
        <f t="shared" si="5"/>
        <v>-37200000</v>
      </c>
      <c r="AL67" s="20"/>
    </row>
    <row r="68" spans="1:38" x14ac:dyDescent="0.25">
      <c r="F68" t="s">
        <v>4148</v>
      </c>
      <c r="G68" t="s">
        <v>4143</v>
      </c>
      <c r="K68" s="32" t="s">
        <v>319</v>
      </c>
      <c r="L68" s="1">
        <v>20000</v>
      </c>
      <c r="N68" s="100"/>
      <c r="Q68" s="121"/>
      <c r="R68" s="56"/>
      <c r="S68" s="119"/>
      <c r="T68" s="119"/>
      <c r="AF68" s="20">
        <v>48</v>
      </c>
      <c r="AG68" s="121" t="s">
        <v>4202</v>
      </c>
      <c r="AH68" s="121">
        <v>45600000</v>
      </c>
      <c r="AI68" s="20">
        <v>1</v>
      </c>
      <c r="AJ68" s="103">
        <f t="shared" si="10"/>
        <v>9</v>
      </c>
      <c r="AK68" s="117">
        <f t="shared" si="5"/>
        <v>410400000</v>
      </c>
      <c r="AL68" s="20"/>
    </row>
    <row r="69" spans="1:38" x14ac:dyDescent="0.25">
      <c r="F69" t="s">
        <v>4149</v>
      </c>
      <c r="G69" t="s">
        <v>4145</v>
      </c>
      <c r="K69" s="32" t="s">
        <v>320</v>
      </c>
      <c r="L69" s="1">
        <v>40000</v>
      </c>
      <c r="N69" s="100"/>
      <c r="Q69" s="117">
        <f>SUM(Q53:Q67)</f>
        <v>92017367.599999994</v>
      </c>
      <c r="R69" s="56" t="s">
        <v>1159</v>
      </c>
      <c r="S69" s="119"/>
      <c r="T69" s="119"/>
      <c r="W69" s="119"/>
      <c r="AF69" s="20">
        <v>49</v>
      </c>
      <c r="AG69" s="121" t="s">
        <v>4213</v>
      </c>
      <c r="AH69" s="121">
        <v>33500000</v>
      </c>
      <c r="AI69" s="20">
        <v>1</v>
      </c>
      <c r="AJ69" s="103">
        <f t="shared" si="10"/>
        <v>8</v>
      </c>
      <c r="AK69" s="117">
        <f t="shared" si="5"/>
        <v>268000000</v>
      </c>
      <c r="AL69" s="20"/>
    </row>
    <row r="70" spans="1:38" x14ac:dyDescent="0.25">
      <c r="G70" t="s">
        <v>4146</v>
      </c>
      <c r="K70" s="32" t="s">
        <v>322</v>
      </c>
      <c r="L70" s="1">
        <v>150000</v>
      </c>
      <c r="N70" s="100"/>
      <c r="Q70" s="121"/>
      <c r="R70" s="56"/>
      <c r="S70" s="126"/>
      <c r="W70" s="172"/>
      <c r="AF70" s="20">
        <v>50</v>
      </c>
      <c r="AG70" s="121" t="s">
        <v>4221</v>
      </c>
      <c r="AH70" s="121">
        <v>12000000</v>
      </c>
      <c r="AI70" s="20">
        <v>1</v>
      </c>
      <c r="AJ70" s="103">
        <f t="shared" si="10"/>
        <v>7</v>
      </c>
      <c r="AK70" s="121">
        <f t="shared" si="5"/>
        <v>84000000</v>
      </c>
      <c r="AL70" s="20"/>
    </row>
    <row r="71" spans="1:38" x14ac:dyDescent="0.25">
      <c r="G71" t="s">
        <v>4147</v>
      </c>
      <c r="K71" s="32" t="s">
        <v>324</v>
      </c>
      <c r="L71" s="1">
        <v>75000</v>
      </c>
      <c r="Q71" s="121"/>
      <c r="R71" s="56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4227</v>
      </c>
      <c r="AH71" s="121">
        <v>15500000</v>
      </c>
      <c r="AI71" s="20">
        <v>4</v>
      </c>
      <c r="AJ71" s="103">
        <f t="shared" si="10"/>
        <v>6</v>
      </c>
      <c r="AK71" s="121">
        <f t="shared" si="5"/>
        <v>93000000</v>
      </c>
      <c r="AL71" s="20"/>
    </row>
    <row r="72" spans="1:38" x14ac:dyDescent="0.25">
      <c r="G72" t="s">
        <v>4151</v>
      </c>
      <c r="K72" s="32" t="s">
        <v>314</v>
      </c>
      <c r="L72" s="1">
        <v>140000</v>
      </c>
      <c r="Q72" s="126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4232</v>
      </c>
      <c r="AH72" s="121">
        <v>150000</v>
      </c>
      <c r="AI72" s="20">
        <v>1</v>
      </c>
      <c r="AJ72" s="103">
        <f t="shared" si="10"/>
        <v>2</v>
      </c>
      <c r="AK72" s="121">
        <f t="shared" si="5"/>
        <v>300000</v>
      </c>
      <c r="AL72" s="20"/>
    </row>
    <row r="73" spans="1:38" x14ac:dyDescent="0.25">
      <c r="G73" t="s">
        <v>4150</v>
      </c>
      <c r="K73" s="2" t="s">
        <v>478</v>
      </c>
      <c r="L73" s="3">
        <v>1083333</v>
      </c>
      <c r="P73" s="119"/>
      <c r="W73" s="119"/>
      <c r="X73" s="132"/>
      <c r="Y73" s="119"/>
      <c r="Z73" s="119"/>
      <c r="AA73" s="119"/>
      <c r="AB73" s="132"/>
      <c r="AC73" s="119"/>
      <c r="AD73" s="119"/>
      <c r="AF73" s="194">
        <v>53</v>
      </c>
      <c r="AG73" s="195" t="s">
        <v>4241</v>
      </c>
      <c r="AH73" s="195">
        <v>29000000</v>
      </c>
      <c r="AI73" s="194">
        <v>1</v>
      </c>
      <c r="AJ73" s="194">
        <f t="shared" si="10"/>
        <v>1</v>
      </c>
      <c r="AK73" s="195">
        <f t="shared" si="5"/>
        <v>29000000</v>
      </c>
      <c r="AL73" s="194" t="s">
        <v>4261</v>
      </c>
    </row>
    <row r="74" spans="1:38" x14ac:dyDescent="0.25">
      <c r="K74" s="2"/>
      <c r="L74" s="3"/>
      <c r="P74" s="132"/>
      <c r="W74" s="119"/>
      <c r="X74" s="132"/>
      <c r="Y74" s="119"/>
      <c r="Z74" s="119"/>
      <c r="AA74" s="119"/>
      <c r="AB74" s="132"/>
      <c r="AC74" s="119"/>
      <c r="AD74" s="119"/>
      <c r="AF74" s="20"/>
      <c r="AG74" s="121"/>
      <c r="AH74" s="121"/>
      <c r="AI74" s="20"/>
      <c r="AJ74" s="103">
        <f t="shared" si="10"/>
        <v>0</v>
      </c>
      <c r="AK74" s="121">
        <f t="shared" si="5"/>
        <v>0</v>
      </c>
      <c r="AL74" s="20"/>
    </row>
    <row r="75" spans="1:38" x14ac:dyDescent="0.25">
      <c r="K75" s="2"/>
      <c r="L75" s="3"/>
      <c r="P75" s="132"/>
      <c r="Q75" s="22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>
        <v>0</v>
      </c>
      <c r="AI75" s="20"/>
      <c r="AJ75" s="103">
        <f t="shared" si="10"/>
        <v>0</v>
      </c>
      <c r="AK75" s="121">
        <f>AH75*AJ75</f>
        <v>0</v>
      </c>
      <c r="AL75" s="20"/>
    </row>
    <row r="76" spans="1:38" x14ac:dyDescent="0.25">
      <c r="K76" s="2" t="s">
        <v>6</v>
      </c>
      <c r="L76" s="3">
        <f>SUM(L53:L74)</f>
        <v>3383333</v>
      </c>
      <c r="P76" s="119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>
        <f t="shared" si="10"/>
        <v>0</v>
      </c>
      <c r="AK76" s="121">
        <f t="shared" si="5"/>
        <v>0</v>
      </c>
      <c r="AL76" s="20"/>
    </row>
    <row r="77" spans="1:38" x14ac:dyDescent="0.25">
      <c r="K77" s="2" t="s">
        <v>328</v>
      </c>
      <c r="L77" s="3">
        <f>L76/30</f>
        <v>112777.76666666666</v>
      </c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>
        <f t="shared" si="10"/>
        <v>0</v>
      </c>
      <c r="AK77" s="121">
        <f t="shared" si="5"/>
        <v>0</v>
      </c>
      <c r="AL77" s="20"/>
    </row>
    <row r="78" spans="1:38" x14ac:dyDescent="0.25">
      <c r="O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10"/>
        <v>0</v>
      </c>
      <c r="AK78" s="121">
        <f t="shared" si="5"/>
        <v>0</v>
      </c>
      <c r="AL78" s="103"/>
    </row>
    <row r="79" spans="1:38" x14ac:dyDescent="0.25">
      <c r="O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10"/>
        <v>0</v>
      </c>
      <c r="AK79" s="121">
        <f t="shared" si="5"/>
        <v>0</v>
      </c>
      <c r="AL79" s="103"/>
    </row>
    <row r="80" spans="1:38" x14ac:dyDescent="0.25">
      <c r="W80" s="119"/>
      <c r="X80" s="119"/>
      <c r="Y80" s="119"/>
      <c r="AC80" s="119"/>
      <c r="AD80" s="119"/>
      <c r="AF80" s="103"/>
      <c r="AG80" s="103"/>
      <c r="AH80" s="99">
        <f>SUM(AH20:AH78)</f>
        <v>222551899</v>
      </c>
      <c r="AI80" s="103"/>
      <c r="AJ80" s="103"/>
      <c r="AK80" s="99">
        <f>SUM(AK20:AK79)</f>
        <v>7686053165</v>
      </c>
      <c r="AL80" s="99">
        <f>AK80*AL83/31</f>
        <v>4958743.977419355</v>
      </c>
    </row>
    <row r="81" spans="11:50" x14ac:dyDescent="0.25">
      <c r="X81" s="119"/>
      <c r="Y81" s="119"/>
      <c r="AC81" s="119"/>
      <c r="AD81" s="119"/>
      <c r="AF81" s="103"/>
      <c r="AG81" s="103"/>
      <c r="AH81" s="103" t="s">
        <v>4101</v>
      </c>
      <c r="AI81" s="103"/>
      <c r="AJ81" s="103"/>
      <c r="AK81" s="103" t="s">
        <v>284</v>
      </c>
      <c r="AL81" s="103" t="s">
        <v>917</v>
      </c>
    </row>
    <row r="82" spans="11:50" x14ac:dyDescent="0.25">
      <c r="X82" s="119"/>
      <c r="Y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 x14ac:dyDescent="0.25">
      <c r="K83" s="48" t="s">
        <v>789</v>
      </c>
      <c r="L83" s="48" t="s">
        <v>476</v>
      </c>
      <c r="AF83" s="103"/>
      <c r="AG83" s="103"/>
      <c r="AH83" s="103"/>
      <c r="AI83" s="103"/>
      <c r="AJ83" s="103"/>
      <c r="AK83" s="103" t="s">
        <v>4102</v>
      </c>
      <c r="AL83" s="103">
        <v>0.02</v>
      </c>
      <c r="AU83" t="s">
        <v>25</v>
      </c>
    </row>
    <row r="84" spans="11:50" x14ac:dyDescent="0.25">
      <c r="K84" s="47">
        <v>700000</v>
      </c>
      <c r="L84" s="48" t="s">
        <v>1041</v>
      </c>
      <c r="AF84" s="103"/>
      <c r="AG84" s="103"/>
      <c r="AH84" s="103"/>
      <c r="AI84" s="103"/>
      <c r="AJ84" s="103"/>
      <c r="AK84" s="103"/>
      <c r="AL84" s="103"/>
    </row>
    <row r="85" spans="11:50" x14ac:dyDescent="0.25">
      <c r="K85" s="47">
        <v>500000</v>
      </c>
      <c r="L85" s="48" t="s">
        <v>479</v>
      </c>
      <c r="AF85" s="103"/>
      <c r="AG85" s="103" t="s">
        <v>4103</v>
      </c>
      <c r="AH85" s="99">
        <f>AH80+AL80</f>
        <v>227510642.97741935</v>
      </c>
      <c r="AI85" s="103"/>
      <c r="AJ85" s="103"/>
      <c r="AK85" s="103"/>
      <c r="AL85" s="103"/>
      <c r="AX85" t="s">
        <v>25</v>
      </c>
    </row>
    <row r="86" spans="11:50" x14ac:dyDescent="0.25">
      <c r="K86" s="47">
        <v>180000</v>
      </c>
      <c r="L86" s="48" t="s">
        <v>558</v>
      </c>
      <c r="AG86" t="s">
        <v>4106</v>
      </c>
      <c r="AH86" s="118">
        <f>SUM(N33:N35)</f>
        <v>259277303.19999999</v>
      </c>
      <c r="AO86" t="s">
        <v>25</v>
      </c>
      <c r="AT86" t="s">
        <v>25</v>
      </c>
    </row>
    <row r="87" spans="11:50" x14ac:dyDescent="0.25">
      <c r="K87" s="47">
        <v>0</v>
      </c>
      <c r="L87" s="48" t="s">
        <v>785</v>
      </c>
      <c r="AG87" t="s">
        <v>4191</v>
      </c>
      <c r="AH87" s="118">
        <f>AH86-AH80</f>
        <v>36725404.199999988</v>
      </c>
      <c r="AS87" s="100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8">
        <f>AL80</f>
        <v>4958743.977419355</v>
      </c>
      <c r="AR88" s="100" t="s">
        <v>25</v>
      </c>
      <c r="AS88" s="100" t="s">
        <v>25</v>
      </c>
    </row>
    <row r="89" spans="11:50" x14ac:dyDescent="0.25">
      <c r="K89" s="47">
        <v>500000</v>
      </c>
      <c r="L89" s="48" t="s">
        <v>787</v>
      </c>
      <c r="AG89" t="s">
        <v>4107</v>
      </c>
      <c r="AH89" s="118">
        <f>AH86-AH85</f>
        <v>31766660.222580642</v>
      </c>
    </row>
    <row r="90" spans="11:50" x14ac:dyDescent="0.25">
      <c r="K90" s="47">
        <v>75000</v>
      </c>
      <c r="L90" s="48" t="s">
        <v>788</v>
      </c>
      <c r="AT90" t="s">
        <v>25</v>
      </c>
    </row>
    <row r="91" spans="11:50" x14ac:dyDescent="0.25">
      <c r="K91" s="47">
        <v>0</v>
      </c>
      <c r="L91" s="48" t="s">
        <v>790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2018-10-05T17:37:41Z</dcterms:modified>
</cp:coreProperties>
</file>