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36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N2" i="33" l="1"/>
  <c r="N29" i="18"/>
  <c r="S33" i="18"/>
  <c r="D74" i="45" l="1"/>
  <c r="N19" i="18" l="1"/>
  <c r="G43" i="14" l="1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E45" i="14" l="1"/>
  <c r="S29" i="18"/>
  <c r="E44" i="14" l="1"/>
  <c r="N34" i="18"/>
  <c r="E43" i="14" l="1"/>
  <c r="Q79" i="18"/>
  <c r="P77" i="18"/>
  <c r="P81" i="18"/>
  <c r="S72" i="18"/>
  <c r="R69" i="18"/>
  <c r="E42" i="14" l="1"/>
  <c r="G42" i="14" s="1"/>
  <c r="S30" i="18"/>
  <c r="S31" i="18" s="1"/>
  <c r="S32" i="18" s="1"/>
  <c r="E41" i="14" l="1"/>
  <c r="G41" i="14" s="1"/>
  <c r="U28" i="18"/>
  <c r="E40" i="14" l="1"/>
  <c r="G40" i="14" s="1"/>
  <c r="AC15" i="33"/>
  <c r="N28" i="18"/>
  <c r="Q35" i="18" s="1"/>
  <c r="E39" i="14" l="1"/>
  <c r="G39" i="14" s="1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9" i="20" l="1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N52" i="18"/>
  <c r="E37" i="14" l="1"/>
  <c r="G37" i="14" s="1"/>
  <c r="B196" i="13"/>
  <c r="E36" i="14" l="1"/>
  <c r="G36" i="14" s="1"/>
  <c r="F105" i="13"/>
  <c r="B105" i="13"/>
  <c r="E35" i="14" l="1"/>
  <c r="G35" i="14" s="1"/>
  <c r="C2" i="45"/>
  <c r="C24" i="45" s="1"/>
  <c r="Q48" i="18" s="1"/>
  <c r="B2" i="45"/>
  <c r="G2" i="45" s="1"/>
  <c r="D172" i="20"/>
  <c r="L19" i="18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E34" i="14" l="1"/>
  <c r="G34" i="14" s="1"/>
  <c r="H2" i="45"/>
  <c r="H25" i="45"/>
  <c r="G25" i="45"/>
  <c r="B24" i="45"/>
  <c r="D2" i="45"/>
  <c r="D24" i="45" s="1"/>
  <c r="S12" i="44"/>
  <c r="R12" i="44"/>
  <c r="Q12" i="44"/>
  <c r="H30" i="45" l="1"/>
  <c r="E33" i="14"/>
  <c r="I2" i="45"/>
  <c r="I25" i="45" s="1"/>
  <c r="I30" i="45" s="1"/>
  <c r="H3" i="44"/>
  <c r="E32" i="14" l="1"/>
  <c r="G32" i="14" s="1"/>
  <c r="G33" i="14"/>
  <c r="H4" i="44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E30" i="14" l="1"/>
  <c r="G31" i="14"/>
  <c r="E248" i="15"/>
  <c r="E29" i="14" l="1"/>
  <c r="G30" i="14"/>
  <c r="E247" i="15"/>
  <c r="E246" i="15"/>
  <c r="E28" i="14" l="1"/>
  <c r="G29" i="14"/>
  <c r="E245" i="15"/>
  <c r="E27" i="14" l="1"/>
  <c r="G28" i="14"/>
  <c r="N13" i="33"/>
  <c r="E244" i="15"/>
  <c r="H13" i="33" l="1"/>
  <c r="B13" i="33"/>
  <c r="G13" i="33"/>
  <c r="K13" i="33"/>
  <c r="L13" i="33"/>
  <c r="E26" i="14"/>
  <c r="G27" i="14"/>
  <c r="C13" i="33"/>
  <c r="E13" i="33"/>
  <c r="I13" i="33"/>
  <c r="D13" i="33"/>
  <c r="J13" i="33"/>
  <c r="F13" i="33"/>
  <c r="E25" i="14" l="1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E24" i="14" l="1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E23" i="14" l="1"/>
  <c r="G24" i="14"/>
  <c r="H25" i="43"/>
  <c r="G2" i="43"/>
  <c r="G25" i="43" s="1"/>
  <c r="G30" i="43" s="1"/>
  <c r="H30" i="43" s="1"/>
  <c r="E22" i="14" l="1"/>
  <c r="G23" i="14"/>
  <c r="I2" i="43"/>
  <c r="I25" i="43" s="1"/>
  <c r="I30" i="43" s="1"/>
  <c r="D24" i="43"/>
  <c r="E21" i="14" l="1"/>
  <c r="E20" i="14" s="1"/>
  <c r="E19" i="14" s="1"/>
  <c r="E18" i="14" s="1"/>
  <c r="G22" i="14"/>
  <c r="E243" i="15"/>
  <c r="E242" i="15" l="1"/>
  <c r="J46" i="33" l="1"/>
  <c r="J44" i="33"/>
  <c r="J43" i="33"/>
  <c r="L46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U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48" i="14" l="1"/>
  <c r="G51" i="14" s="1"/>
  <c r="E37" i="18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<sst xmlns="http://schemas.openxmlformats.org/spreadsheetml/2006/main" count="8615" uniqueCount="4121">
  <si>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</si>
  <si>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</si>
  <si>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</si>
  <si>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</si>
  <si>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</si>
  <si>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</si>
  <si>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</si>
  <si>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</si>
  <si>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</si>
  <si>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</si>
  <si>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</si>
  <si>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</si>
  <si>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</si>
  <si>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</si>
  <si>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</si>
  <si>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</si>
  <si>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</si>
  <si>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</si>
  <si>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</si>
  <si>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</si>
  <si>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</si>
  <si>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</si>
  <si>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</si>
  <si>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</si>
  <si>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</si>
  <si>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</si>
  <si>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</si>
  <si>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</si>
  <si>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</si>
  <si>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</si>
  <si>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</si>
  <si>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</si>
  <si>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</si>
  <si>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</si>
  <si>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</si>
  <si>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</si>
  <si>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</si>
  <si>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</si>
  <si>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</si>
  <si>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</si>
  <si>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</si>
  <si>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</si>
  <si>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</si>
  <si>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</si>
  <si>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</si>
  <si>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</si>
  <si>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</si>
  <si>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</si>
  <si>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</si>
  <si>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</si>
  <si>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</si>
  <si>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</si>
  <si>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</si>
  <si>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</si>
  <si>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</si>
  <si>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</si>
  <si>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</si>
  <si>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</si>
  <si>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</si>
  <si>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</si>
  <si>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</si>
  <si>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</si>
  <si>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</si>
  <si>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</si>
  <si>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</si>
  <si>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</si>
  <si>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</si>
  <si>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</si>
  <si>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</si>
  <si>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</si>
  <si>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</si>
  <si>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</si>
  <si>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</si>
  <si>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</si>
  <si>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</si>
  <si>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</si>
  <si>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</si>
  <si>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</si>
  <si>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</si>
  <si>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</si>
  <si>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</si>
  <si>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</si>
  <si>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</si>
  <si>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</si>
  <si>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</si>
  <si>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</si>
  <si>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</si>
  <si>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</si>
  <si>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</si>
  <si>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</si>
  <si>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</si>
  <si>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</si>
  <si>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</si>
  <si>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</si>
  <si>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</si>
  <si>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</si>
  <si>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</si>
  <si>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</si>
  <si>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</si>
  <si>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</si>
  <si>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</si>
  <si>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</si>
  <si>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</si>
  <si>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</si>
  <si>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</si>
  <si>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</si>
  <si>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</si>
  <si>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</si>
  <si>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</si>
  <si>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</si>
  <si>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</si>
  <si>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</si>
  <si>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</si>
  <si>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</si>
  <si>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</si>
  <si>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</si>
  <si>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</si>
  <si>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</si>
  <si>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</si>
  <si>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</si>
  <si>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</si>
  <si>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</si>
  <si>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</si>
  <si>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</si>
  <si>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</si>
  <si>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</si>
  <si>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</si>
  <si>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</si>
  <si>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</si>
  <si>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</si>
  <si>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</si>
  <si>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</si>
  <si>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</si>
  <si>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</si>
  <si>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</si>
  <si>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</si>
  <si>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</si>
  <si>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</si>
  <si>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</si>
  <si>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</si>
  <si>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</si>
  <si>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</si>
  <si>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</si>
  <si>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</si>
  <si>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</si>
  <si>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</si>
  <si>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</si>
  <si>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</si>
  <si>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</si>
  <si>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</si>
  <si>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</si>
  <si>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</si>
  <si>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</si>
  <si>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</si>
  <si>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</si>
  <si>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</si>
  <si>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</si>
  <si>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</si>
  <si>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</si>
  <si>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</si>
  <si>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</si>
  <si>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</si>
  <si>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</si>
  <si>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</si>
  <si>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</si>
  <si>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</si>
  <si>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</si>
  <si>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</si>
  <si>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</si>
  <si>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</si>
  <si>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</si>
  <si>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</si>
  <si>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</si>
  <si>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</si>
  <si>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</si>
  <si>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</si>
  <si>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</si>
  <si>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</si>
  <si>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</si>
  <si>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</si>
  <si>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</si>
  <si>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</si>
  <si>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</si>
  <si>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</si>
  <si>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</si>
  <si>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</si>
  <si>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</si>
  <si>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</si>
  <si>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</si>
  <si>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</si>
  <si>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</si>
  <si>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</si>
  <si>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</si>
  <si>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</si>
  <si>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</si>
  <si>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</si>
  <si>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</si>
  <si>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</si>
  <si>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</si>
  <si>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</si>
  <si>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</si>
  <si>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</si>
  <si>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</si>
  <si>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</si>
  <si>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</si>
  <si>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</si>
  <si>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</si>
  <si>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</si>
  <si>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</si>
  <si>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</si>
  <si>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</si>
  <si>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</si>
  <si>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</si>
  <si>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</si>
  <si>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</si>
  <si>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</si>
  <si>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</si>
  <si>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</si>
  <si>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</si>
  <si>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</si>
  <si>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</si>
  <si>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</si>
  <si>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</si>
  <si>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</si>
  <si>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</si>
  <si>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</si>
  <si>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</si>
  <si>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</si>
  <si>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</si>
  <si>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</si>
  <si>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</si>
  <si>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</si>
  <si>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</si>
  <si>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</si>
  <si>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</si>
  <si>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</si>
  <si>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</si>
  <si>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</si>
  <si>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</si>
  <si>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</si>
  <si>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</si>
  <si>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</si>
  <si>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</si>
  <si>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</si>
  <si>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</si>
  <si>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</si>
  <si>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</si>
  <si>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</si>
  <si>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</si>
  <si>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</si>
  <si>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</si>
  <si>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</si>
  <si>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</si>
  <si>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</si>
  <si>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</si>
  <si>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</si>
  <si>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</si>
  <si>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</si>
  <si>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</si>
  <si>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</si>
  <si>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</si>
  <si>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</si>
  <si>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</si>
  <si>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</si>
  <si>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</si>
  <si>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</si>
  <si>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</si>
  <si>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</si>
  <si>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</si>
  <si>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</si>
  <si>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</si>
  <si>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</si>
  <si>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</si>
  <si>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</si>
  <si>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</si>
  <si>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</si>
  <si>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</si>
  <si>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</si>
  <si>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</si>
  <si>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</si>
  <si>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</si>
  <si>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</si>
  <si>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</si>
  <si>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</si>
  <si>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</si>
  <si>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</si>
  <si>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</si>
  <si>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</si>
  <si>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</si>
  <si>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</si>
  <si>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</si>
  <si>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</si>
  <si>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</si>
  <si>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</si>
  <si>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</si>
  <si>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</si>
  <si>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</si>
  <si>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</si>
  <si>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</si>
  <si>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</si>
  <si>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</si>
  <si>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</si>
  <si>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</si>
  <si>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</si>
  <si>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</si>
  <si>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</si>
  <si>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</si>
  <si>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</si>
  <si>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</si>
  <si>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</si>
  <si>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</si>
  <si>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</si>
  <si>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</si>
  <si>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</si>
  <si>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</si>
  <si>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</si>
  <si>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</si>
  <si>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</si>
  <si>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</si>
  <si>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</si>
  <si>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</si>
  <si>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</si>
  <si>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</si>
  <si>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</si>
  <si>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</si>
  <si>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</si>
  <si>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</si>
  <si>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</si>
  <si>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</si>
  <si>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</si>
  <si>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</si>
  <si>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</si>
  <si>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</si>
  <si>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</si>
  <si>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</si>
  <si>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</si>
  <si>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</si>
  <si>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</si>
  <si>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</si>
  <si>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</si>
  <si>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</si>
  <si>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</si>
  <si>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</si>
  <si>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</si>
  <si>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</si>
  <si>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</si>
  <si>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</si>
  <si>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</si>
  <si>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</si>
  <si>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</si>
  <si>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</si>
  <si>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</si>
  <si>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</si>
  <si>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</si>
  <si>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</si>
  <si>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</si>
  <si>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</si>
  <si>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</si>
  <si>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</si>
  <si>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</si>
  <si>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</si>
  <si>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</si>
  <si>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</si>
  <si>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</si>
  <si>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</si>
  <si>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</si>
  <si>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</si>
  <si>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</si>
  <si>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</si>
  <si>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</si>
  <si>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</si>
  <si>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</si>
  <si>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</si>
  <si>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</si>
  <si>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</si>
  <si>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</si>
  <si>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</si>
  <si>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</si>
  <si>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</si>
  <si>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</si>
  <si>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</si>
  <si>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</si>
  <si>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</si>
  <si>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</si>
  <si>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</si>
  <si>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</si>
  <si>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</si>
  <si>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</si>
  <si>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</si>
  <si>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</si>
  <si>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</si>
  <si>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</si>
  <si>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</si>
  <si>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</si>
  <si>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</si>
  <si>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</si>
  <si>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</si>
  <si>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</si>
  <si>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</si>
  <si>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</si>
  <si>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</si>
  <si>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</si>
  <si>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</si>
  <si>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</si>
  <si>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</si>
  <si>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</si>
  <si>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</si>
  <si>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</si>
  <si>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</si>
  <si>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</si>
  <si>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</si>
  <si>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</si>
  <si>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</si>
  <si>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</si>
  <si>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</si>
  <si>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</si>
  <si>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</si>
  <si>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</si>
  <si>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</si>
  <si>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</si>
  <si>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</si>
  <si>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</si>
  <si>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</si>
  <si>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</si>
  <si>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</si>
  <si>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</si>
  <si>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</si>
  <si>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</si>
  <si>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</si>
  <si>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</si>
  <si>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</si>
  <si>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</si>
  <si>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</si>
  <si>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</si>
  <si>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</si>
  <si>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</si>
  <si>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</si>
  <si>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</si>
  <si>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</si>
  <si>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</si>
  <si>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</si>
  <si>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</si>
  <si>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</si>
  <si>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</si>
  <si>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</si>
  <si>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</si>
  <si>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</si>
  <si>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</si>
  <si>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</si>
  <si>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</si>
  <si>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</si>
  <si>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</si>
  <si>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</si>
  <si>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</si>
  <si>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</si>
  <si>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</si>
  <si>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</si>
  <si>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</si>
  <si>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</si>
  <si>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</si>
  <si>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</si>
  <si>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</si>
  <si>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</si>
  <si>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</si>
  <si>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</si>
  <si>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</si>
  <si>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</si>
  <si>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</si>
  <si>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</si>
  <si>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</si>
  <si>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</si>
  <si>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</si>
  <si>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</si>
  <si>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</si>
  <si>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</si>
  <si>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</si>
  <si>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</si>
  <si>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</si>
  <si>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</si>
  <si>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</si>
  <si>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</si>
  <si>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</si>
  <si>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</si>
  <si>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</si>
  <si>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</si>
  <si>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</si>
  <si>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</si>
  <si>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</si>
  <si>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</si>
  <si>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</si>
  <si>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</si>
  <si>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</si>
  <si>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</si>
  <si>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</si>
  <si>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</si>
  <si>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</si>
  <si>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</si>
  <si>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</si>
  <si>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</si>
  <si>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</si>
  <si>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</si>
  <si>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</si>
  <si>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</si>
  <si>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</si>
  <si>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</si>
  <si>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</si>
  <si>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</si>
  <si>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</si>
  <si>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</si>
  <si>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</si>
  <si>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</si>
  <si>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</si>
  <si>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</si>
  <si>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</si>
  <si>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</si>
  <si>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</si>
  <si>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</si>
  <si>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</si>
  <si>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</si>
  <si>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</si>
  <si>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</si>
  <si>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</si>
  <si>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</si>
  <si>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</si>
  <si>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</si>
  <si>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</si>
  <si>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</si>
  <si>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</si>
  <si>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</si>
  <si>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</si>
  <si>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</si>
  <si>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</si>
  <si>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</si>
  <si>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</si>
  <si>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</si>
  <si>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</si>
  <si>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</si>
  <si>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</si>
  <si>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</si>
  <si>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</si>
  <si>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</si>
  <si>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</si>
  <si>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</si>
  <si>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</si>
  <si>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</si>
  <si>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</si>
  <si>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</si>
  <si>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</si>
  <si>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</si>
  <si>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</si>
  <si>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</si>
  <si>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</si>
  <si>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</si>
  <si>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</si>
  <si>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</si>
  <si>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</si>
  <si>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</si>
  <si>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</si>
  <si>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</si>
  <si>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</si>
  <si>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</si>
  <si>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</si>
  <si>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</si>
  <si>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</si>
  <si>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</si>
  <si>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</si>
  <si>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</si>
  <si>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</si>
  <si>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</si>
  <si>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</si>
  <si>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</si>
  <si>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</si>
  <si>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</si>
  <si>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</si>
  <si>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</si>
  <si>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</si>
  <si>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</si>
  <si>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</si>
  <si>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</si>
  <si>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</si>
  <si>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</si>
  <si>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</si>
  <si>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</si>
  <si>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</si>
  <si>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</si>
  <si>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</si>
  <si>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</si>
  <si>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</si>
  <si>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</si>
  <si>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</si>
  <si>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</si>
  <si>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</si>
  <si>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</si>
  <si>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</si>
  <si>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</si>
  <si>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</si>
  <si>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</si>
  <si>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</si>
  <si>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</si>
  <si>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</si>
  <si>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</si>
  <si>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</si>
  <si>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</si>
  <si>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</si>
  <si>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</si>
  <si>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</si>
  <si>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</si>
  <si>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</si>
  <si>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</si>
  <si>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</si>
  <si>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</si>
  <si>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</si>
  <si>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</si>
  <si>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</si>
  <si>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</si>
  <si>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</si>
  <si>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</si>
  <si>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</si>
  <si>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</si>
  <si>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</si>
  <si>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</si>
  <si>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</si>
  <si>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</si>
  <si>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</si>
  <si>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</si>
  <si>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</si>
  <si>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</si>
  <si>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</si>
  <si>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</si>
  <si>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</si>
  <si>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</si>
  <si>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</si>
  <si>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</si>
  <si>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</si>
  <si>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</si>
  <si>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</si>
  <si>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</si>
  <si>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</si>
  <si>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</si>
  <si>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</si>
  <si>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</si>
  <si>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</si>
  <si>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</si>
  <si>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</si>
  <si>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</si>
  <si>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</si>
  <si>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</si>
  <si>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</si>
  <si>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</si>
  <si>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</si>
  <si>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</si>
  <si>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</si>
  <si>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</si>
  <si>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</si>
  <si>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</si>
  <si>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</si>
  <si>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</si>
  <si>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</si>
  <si>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</si>
  <si>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</si>
  <si>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</si>
  <si>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</si>
  <si>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</si>
  <si>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</si>
  <si>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</si>
  <si>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</si>
  <si>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</si>
  <si>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</si>
  <si>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</si>
  <si>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</si>
  <si>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</si>
  <si>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</si>
  <si>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</si>
  <si>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</si>
  <si>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</si>
  <si>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</si>
  <si>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</si>
  <si>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</si>
  <si>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</si>
  <si>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</si>
  <si>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</si>
  <si>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</si>
  <si>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</si>
  <si>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</si>
  <si>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</si>
  <si>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</si>
  <si>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</si>
  <si>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</si>
  <si>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</si>
  <si>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</si>
  <si>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</si>
  <si>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</si>
  <si>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</si>
  <si>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</si>
  <si>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</si>
  <si>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</si>
  <si>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</si>
  <si>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</si>
  <si>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</si>
  <si>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</si>
  <si>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</si>
  <si>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</si>
  <si>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</si>
  <si>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</si>
  <si>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</si>
  <si>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</si>
  <si>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</si>
  <si>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</si>
  <si>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</si>
  <si>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</si>
  <si>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</si>
  <si>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</si>
  <si>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</si>
  <si>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</si>
  <si>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</si>
  <si>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</si>
  <si>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</si>
  <si>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</si>
  <si>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</si>
  <si>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</si>
  <si>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</si>
  <si>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</si>
  <si>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</si>
  <si>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</si>
  <si>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</si>
  <si>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</si>
  <si>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</si>
  <si>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</si>
  <si>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</si>
  <si>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</si>
  <si>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</si>
  <si>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</si>
  <si>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</si>
  <si>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</si>
  <si>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</si>
  <si>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</si>
  <si>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</si>
  <si>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</si>
  <si>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</si>
  <si>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</si>
  <si>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</si>
  <si>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</si>
  <si>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</si>
  <si>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</si>
  <si>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</si>
  <si>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</si>
  <si>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</si>
  <si>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</si>
  <si>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</si>
  <si>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</si>
  <si>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</si>
  <si>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</si>
  <si>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</si>
  <si>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</si>
  <si>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</si>
  <si>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</si>
  <si>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</si>
  <si>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</si>
  <si>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</si>
  <si>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</si>
  <si>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</si>
  <si>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</si>
  <si>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</si>
  <si>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</si>
  <si>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</si>
  <si>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</si>
  <si>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</si>
  <si>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</si>
  <si>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</si>
  <si>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</si>
  <si>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</si>
  <si>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</si>
  <si>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</si>
  <si>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</si>
  <si>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</si>
  <si>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</si>
  <si>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</si>
  <si>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</si>
  <si>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</si>
  <si>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</si>
  <si>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</si>
  <si>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</si>
  <si>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</si>
  <si>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</si>
  <si>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</si>
  <si>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</si>
  <si>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</si>
  <si>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</si>
  <si>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</si>
  <si>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</si>
  <si>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</si>
  <si>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</si>
  <si>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</si>
  <si>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</si>
  <si>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</si>
  <si>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</si>
  <si>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</si>
  <si>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</si>
  <si>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</si>
  <si>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</si>
  <si>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</si>
  <si>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</si>
  <si>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</si>
  <si>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</si>
  <si>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</si>
  <si>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</si>
  <si>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</si>
  <si>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</si>
  <si>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</si>
  <si>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</si>
  <si>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</si>
  <si>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</si>
  <si>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</si>
  <si>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</si>
  <si>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</si>
  <si>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</si>
  <si>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</si>
  <si>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</si>
  <si>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</si>
  <si>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</si>
  <si>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</si>
  <si>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</si>
  <si>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</si>
  <si>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</si>
  <si>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</si>
  <si>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</si>
  <si>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</si>
  <si>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</si>
  <si>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</si>
  <si>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</si>
  <si>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</si>
  <si>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</si>
  <si>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</si>
  <si>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</si>
  <si>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</si>
  <si>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</si>
  <si>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</si>
  <si>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</si>
  <si>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</si>
  <si>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</si>
  <si>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</si>
  <si>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</si>
  <si>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</si>
  <si>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</si>
  <si>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</si>
  <si>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</si>
  <si>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</si>
  <si>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</si>
  <si>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</si>
  <si>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</si>
  <si>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</si>
  <si>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</si>
  <si>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</si>
  <si>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</si>
  <si>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</si>
  <si>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</si>
  <si>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</si>
  <si>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</si>
  <si>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</si>
  <si>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</si>
  <si>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</si>
  <si>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</si>
  <si>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</si>
  <si>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</si>
  <si>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</si>
  <si>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</si>
  <si>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</si>
  <si>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</si>
  <si>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</si>
  <si>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</si>
  <si>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</si>
  <si>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</si>
  <si>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</si>
  <si>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</si>
  <si>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</si>
  <si>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</si>
  <si>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</si>
  <si>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</si>
  <si>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</si>
  <si>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</si>
  <si>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</si>
  <si>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</si>
  <si>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</si>
  <si>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</si>
  <si>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</si>
  <si>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</si>
  <si>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</si>
  <si>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</si>
  <si>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</si>
  <si>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</si>
  <si>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</si>
  <si>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</si>
  <si>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</si>
  <si>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</si>
  <si>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</si>
  <si>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</si>
  <si>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</si>
  <si>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</si>
  <si>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</si>
  <si>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</si>
  <si>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</si>
  <si>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</si>
  <si>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</si>
  <si>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</si>
  <si>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</si>
  <si>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</si>
  <si>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</si>
  <si>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</si>
  <si>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</si>
  <si>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</si>
  <si>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</si>
  <si>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</si>
  <si>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</si>
  <si>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</si>
  <si>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</si>
  <si>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</si>
  <si>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</si>
  <si>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</si>
  <si>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</si>
  <si>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</si>
  <si>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</si>
  <si>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</si>
  <si>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</si>
  <si>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</si>
  <si>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</si>
  <si>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</si>
  <si>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</si>
  <si>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</si>
  <si>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</si>
  <si>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</si>
  <si>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</si>
  <si>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</si>
  <si>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</si>
  <si>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</si>
  <si>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</si>
  <si>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</si>
  <si>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</si>
  <si>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</si>
  <si>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</si>
  <si>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</si>
  <si>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</si>
  <si>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</si>
  <si>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</si>
  <si>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</si>
  <si>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</si>
  <si>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</si>
  <si>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</si>
  <si>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</si>
  <si>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</si>
  <si>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</si>
  <si>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</si>
  <si>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</si>
  <si>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</si>
  <si>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</si>
  <si>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</si>
  <si>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</si>
  <si>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</si>
  <si>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</si>
  <si>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</si>
  <si>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</si>
  <si>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</si>
  <si>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</si>
  <si>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</si>
  <si>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</si>
  <si>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</si>
  <si>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</si>
  <si>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</si>
  <si>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</si>
  <si>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</si>
  <si>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</si>
  <si>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</si>
  <si>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</si>
  <si>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</si>
  <si>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</si>
  <si>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</si>
  <si>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</si>
  <si>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</si>
  <si>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</si>
  <si>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</si>
  <si>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</si>
  <si>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</si>
  <si>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</si>
  <si>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</si>
  <si>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</si>
  <si>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</si>
  <si>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</si>
  <si>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</si>
  <si>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</si>
  <si>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</si>
  <si>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</si>
  <si>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</si>
  <si>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</si>
  <si>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</si>
  <si>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</si>
  <si>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</si>
  <si>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</si>
  <si>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</si>
  <si>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</si>
  <si>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</si>
  <si>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</si>
  <si>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</si>
  <si>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</si>
  <si>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</si>
  <si>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</si>
  <si>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</si>
  <si>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</si>
  <si>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</si>
  <si>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</si>
  <si>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</si>
  <si>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</si>
  <si>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</si>
  <si>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</si>
  <si>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</si>
  <si>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</si>
  <si>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</si>
  <si>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</si>
  <si>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</si>
  <si>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</si>
  <si>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</si>
  <si>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</si>
  <si>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</si>
  <si>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</si>
  <si>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</si>
  <si>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</si>
  <si>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</si>
  <si>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</si>
  <si>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</si>
  <si>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</si>
  <si>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</si>
  <si>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</si>
  <si>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</si>
  <si>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</si>
  <si>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</si>
  <si>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</si>
  <si>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</si>
  <si>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</si>
  <si>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</si>
  <si>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</si>
  <si>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</si>
  <si>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</si>
  <si>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</si>
  <si>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</si>
  <si>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</si>
  <si>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</si>
  <si>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</si>
  <si>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</si>
  <si>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</si>
  <si>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</si>
  <si>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</si>
  <si>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</si>
  <si>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</si>
  <si>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</si>
  <si>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</si>
  <si>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</si>
  <si>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</si>
  <si>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</si>
  <si>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</si>
  <si>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</si>
  <si>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</si>
  <si>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</si>
  <si>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</si>
  <si>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</si>
  <si>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</si>
  <si>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</si>
  <si>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</si>
  <si>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</si>
  <si>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</si>
  <si>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</si>
  <si>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</si>
  <si>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</si>
  <si>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</si>
  <si>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</si>
  <si>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</si>
  <si>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</si>
  <si>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</si>
  <si>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</si>
  <si>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</si>
  <si>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</si>
  <si>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</si>
  <si>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</si>
  <si>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</si>
  <si>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</si>
  <si>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</si>
  <si>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</si>
  <si>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</si>
  <si>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</si>
  <si>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</si>
  <si>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</si>
  <si>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</si>
  <si>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</si>
  <si>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</si>
  <si>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</si>
  <si>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</si>
  <si>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</si>
  <si>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</si>
  <si>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</si>
  <si>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</si>
  <si>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</si>
  <si>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</si>
  <si>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</si>
  <si>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</si>
  <si>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</si>
  <si>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</si>
  <si>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</si>
  <si>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</si>
  <si>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</si>
  <si>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</si>
  <si>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</si>
  <si>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</si>
  <si>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</si>
  <si>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</si>
  <si>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</si>
  <si>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</si>
  <si>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</si>
  <si>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</si>
  <si>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</si>
  <si>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</si>
  <si>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</si>
  <si>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</si>
  <si>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</si>
  <si>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</si>
  <si>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</si>
  <si>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</si>
  <si>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</si>
  <si>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</si>
  <si>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</si>
  <si>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</si>
  <si>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</si>
  <si>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</si>
  <si>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</si>
  <si>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</si>
  <si>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</si>
  <si>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</si>
  <si>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</si>
  <si>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</si>
  <si>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</si>
  <si>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</si>
  <si>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</si>
  <si>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</si>
  <si>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</si>
  <si>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</si>
  <si>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</si>
  <si>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</si>
  <si>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</si>
  <si>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</si>
  <si>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</si>
  <si>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</si>
  <si>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</si>
  <si>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</si>
  <si>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</si>
  <si>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</si>
  <si>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</si>
  <si>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</si>
  <si>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</si>
  <si>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</si>
  <si>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</si>
  <si>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</si>
  <si>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</si>
  <si>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</si>
  <si>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</si>
  <si>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</si>
  <si>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</si>
  <si>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</si>
  <si>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</si>
  <si>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</si>
  <si>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</si>
  <si>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</si>
  <si>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</si>
  <si>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</si>
  <si>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</si>
  <si>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</si>
  <si>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</si>
  <si>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</si>
  <si>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</si>
  <si>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</si>
  <si>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</si>
  <si>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</si>
  <si>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</si>
  <si>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</si>
  <si>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</si>
  <si>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</si>
  <si>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</si>
  <si>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</si>
  <si>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</si>
  <si>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</si>
  <si>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</si>
  <si>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</si>
  <si>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</si>
  <si>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</si>
  <si>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</si>
  <si>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</si>
  <si>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</si>
  <si>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</si>
  <si>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</si>
  <si>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</si>
  <si>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</si>
  <si>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</si>
  <si>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</si>
  <si>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</si>
  <si>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</si>
  <si>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</si>
  <si>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</si>
  <si>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</si>
  <si>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</si>
  <si>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</si>
  <si>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</si>
  <si>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</si>
  <si>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</si>
  <si>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</si>
  <si>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</si>
  <si>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</si>
  <si>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</si>
  <si>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</si>
  <si>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</si>
  <si>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</si>
  <si>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</si>
  <si>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</si>
  <si>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</si>
  <si>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</si>
  <si>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</si>
  <si>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</si>
  <si>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</si>
  <si>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</si>
  <si>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</si>
  <si>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</si>
  <si>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</si>
  <si>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</si>
  <si>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</si>
  <si>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</si>
  <si>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</si>
  <si>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</si>
  <si>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</si>
  <si>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</si>
  <si>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</si>
  <si>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</si>
  <si>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</si>
  <si>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</si>
  <si>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</si>
  <si>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</si>
  <si>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</si>
  <si>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</si>
  <si>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</si>
  <si>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</si>
  <si>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</si>
  <si>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</si>
  <si>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</si>
  <si>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</si>
  <si>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</si>
  <si>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</si>
  <si>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</si>
  <si>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</si>
  <si>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</si>
  <si>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</si>
  <si>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</si>
  <si>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</si>
  <si>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</si>
  <si>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</si>
  <si>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</si>
  <si>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</si>
  <si>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</si>
  <si>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</si>
  <si>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</si>
  <si>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</si>
  <si>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</si>
  <si>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</si>
  <si>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</si>
  <si>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</si>
  <si>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</si>
  <si>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</si>
  <si>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</si>
  <si>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</si>
  <si>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</si>
  <si>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</si>
  <si>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</si>
  <si>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</si>
  <si>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</si>
  <si>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</si>
  <si>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</si>
  <si>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</si>
  <si>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</si>
  <si>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</si>
  <si>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</si>
  <si>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</si>
  <si>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</si>
  <si>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</si>
  <si>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</si>
  <si>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</si>
  <si>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</si>
  <si>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</si>
  <si>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</si>
  <si>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</si>
  <si>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</si>
  <si>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</si>
  <si>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</si>
  <si>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</si>
  <si>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</si>
  <si>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</si>
  <si>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</si>
  <si>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</si>
  <si>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</si>
  <si>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</si>
  <si>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</si>
  <si>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</si>
  <si>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</si>
  <si>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</si>
  <si>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</si>
  <si>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</si>
  <si>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</si>
  <si>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</si>
  <si>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</si>
  <si>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</si>
  <si>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</si>
  <si>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</si>
  <si>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</si>
  <si>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</si>
  <si>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</si>
  <si>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</si>
  <si>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</si>
  <si>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</si>
  <si>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</si>
  <si>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</si>
  <si>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</si>
  <si>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</si>
  <si>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</si>
  <si>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</si>
  <si>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</si>
  <si>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</si>
  <si>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</si>
  <si>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</si>
  <si>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</si>
  <si>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</si>
  <si>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</si>
  <si>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</si>
  <si>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</si>
  <si>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</si>
  <si>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</si>
  <si>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</si>
  <si>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</si>
  <si>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</si>
  <si>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</si>
  <si>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</si>
  <si>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</si>
  <si>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</si>
  <si>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</si>
  <si>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</si>
  <si>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</si>
  <si>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</si>
  <si>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</si>
  <si>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</si>
  <si>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</si>
  <si>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</si>
  <si>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</si>
  <si>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</si>
  <si>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</si>
  <si>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</si>
  <si>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</si>
  <si>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</si>
  <si>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</si>
  <si>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</si>
  <si>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</si>
  <si>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</si>
  <si>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</si>
  <si>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</si>
  <si>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</si>
  <si>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</si>
  <si>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</si>
  <si>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</si>
  <si>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</si>
  <si>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</si>
  <si>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</si>
  <si>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</si>
  <si>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</si>
  <si>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</si>
  <si>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</si>
  <si>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</si>
  <si>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</si>
  <si>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</si>
  <si>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</si>
  <si>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</si>
  <si>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</si>
  <si>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</si>
  <si>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</si>
  <si>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</si>
  <si>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</si>
  <si>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</si>
  <si>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</si>
  <si>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</si>
  <si>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</si>
  <si>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</si>
  <si>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</si>
  <si>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</si>
  <si>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</si>
  <si>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</si>
  <si>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</si>
  <si>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</si>
  <si>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</si>
  <si>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</si>
  <si>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</si>
  <si>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</si>
  <si>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</si>
  <si>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</si>
  <si>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</si>
  <si>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</si>
  <si>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</si>
  <si>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</si>
  <si>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</si>
  <si>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</si>
  <si>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</si>
  <si>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</si>
  <si>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</si>
  <si>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</si>
  <si>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</si>
  <si>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</si>
  <si>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</si>
  <si>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</si>
  <si>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</si>
  <si>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</si>
  <si>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</si>
  <si>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</si>
  <si>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</si>
  <si>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</si>
  <si>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</si>
  <si>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</si>
  <si>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</si>
  <si>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</si>
  <si>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</si>
  <si>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</si>
  <si>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</si>
  <si>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</si>
  <si>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</si>
  <si>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</si>
  <si>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</si>
  <si>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</si>
  <si>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</si>
  <si>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</si>
  <si>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</si>
  <si>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</si>
  <si>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</si>
  <si>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</si>
  <si>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</si>
  <si>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</si>
  <si>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</si>
  <si>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</si>
  <si>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</si>
  <si>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</si>
  <si>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</si>
  <si>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</si>
  <si>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</si>
  <si>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</si>
  <si>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</si>
  <si>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</si>
  <si>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</si>
  <si>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</si>
  <si>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</si>
  <si>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</si>
  <si>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</si>
  <si>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</si>
  <si>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</si>
  <si>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</si>
  <si>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</si>
  <si>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</si>
  <si>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</si>
  <si>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</si>
  <si>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</si>
  <si>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</si>
  <si>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</si>
  <si>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</si>
  <si>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</si>
  <si>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</si>
  <si>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</si>
  <si>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</si>
  <si>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</si>
  <si>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</si>
  <si>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</si>
  <si>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</si>
  <si>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</si>
  <si>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</si>
  <si>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</si>
  <si>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</si>
  <si>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</si>
  <si>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</si>
  <si>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</si>
  <si>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</si>
  <si>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</si>
  <si>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</si>
  <si>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</si>
  <si>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</si>
  <si>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</si>
  <si>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</si>
  <si>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</si>
  <si>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</si>
  <si>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</si>
  <si>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</si>
  <si>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</si>
  <si>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</si>
  <si>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</si>
  <si>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</si>
  <si>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</si>
  <si>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</si>
  <si>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</si>
  <si>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</si>
  <si>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</si>
  <si>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</si>
  <si>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</si>
  <si>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</si>
  <si>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</si>
  <si>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</si>
  <si>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</si>
  <si>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</si>
  <si>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</si>
  <si>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</si>
  <si>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</si>
  <si>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</si>
  <si>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</si>
  <si>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</si>
  <si>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</si>
  <si>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</si>
  <si>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</si>
  <si>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</si>
  <si>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</si>
  <si>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</si>
  <si>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</si>
  <si>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</si>
  <si>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</si>
  <si>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</si>
  <si>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</si>
  <si>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</si>
  <si>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</si>
  <si>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</si>
  <si>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</si>
  <si>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</si>
  <si>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</si>
  <si>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</si>
  <si>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</si>
  <si>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</si>
  <si>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</si>
  <si>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</si>
  <si>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</si>
  <si>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</si>
  <si>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</si>
  <si>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</si>
  <si>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</si>
  <si>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</si>
  <si>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</si>
  <si>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</si>
  <si>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</si>
  <si>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</si>
  <si>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</si>
  <si>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</si>
  <si>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</si>
  <si>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</si>
  <si>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</si>
  <si>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</si>
  <si>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</si>
  <si>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</si>
  <si>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</si>
  <si>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</si>
  <si>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</si>
  <si>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</si>
  <si>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</si>
  <si>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</si>
  <si>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</si>
  <si>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</si>
  <si>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</si>
  <si>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</si>
  <si>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</si>
  <si>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</si>
  <si>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</si>
  <si>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</si>
  <si>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</si>
  <si>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</si>
  <si>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</si>
  <si>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</si>
  <si>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</si>
  <si>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</si>
  <si>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</si>
  <si>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</si>
  <si>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</si>
  <si>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</si>
  <si>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</si>
  <si>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</si>
  <si>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</si>
  <si>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</si>
  <si>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</si>
  <si>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</si>
  <si>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</si>
  <si>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</si>
  <si>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</si>
  <si>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</si>
  <si>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</si>
  <si>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</si>
  <si>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</si>
  <si>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</si>
  <si>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</si>
  <si>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</si>
  <si>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</si>
  <si>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</si>
  <si>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</si>
  <si>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</si>
  <si>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</si>
  <si>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</si>
  <si>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</si>
  <si>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</si>
  <si>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</si>
  <si>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</si>
  <si>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</si>
  <si>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</si>
  <si>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</si>
  <si>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</si>
  <si>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</si>
  <si>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</si>
  <si>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</si>
  <si>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</si>
  <si>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</si>
  <si>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</si>
  <si>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</si>
  <si>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</si>
  <si>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</si>
  <si>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</si>
  <si>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</si>
  <si>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</si>
  <si>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</si>
  <si>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</si>
  <si>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</si>
  <si>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</si>
  <si>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</si>
  <si>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</si>
  <si>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</si>
  <si>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</si>
  <si>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</si>
  <si>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</si>
  <si>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</si>
  <si>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</si>
  <si>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</si>
  <si>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</si>
  <si>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</si>
  <si>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</si>
  <si>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</si>
  <si>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</si>
  <si>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</si>
  <si>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</si>
  <si>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</si>
  <si>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</si>
  <si>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</si>
  <si>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</si>
  <si>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</si>
  <si>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</si>
  <si>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</si>
  <si>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</si>
  <si>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</si>
  <si>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</si>
  <si>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</si>
  <si>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</si>
  <si>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</si>
  <si>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</si>
  <si>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</si>
  <si>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</si>
  <si>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</si>
  <si>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</si>
  <si>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</si>
  <si>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</si>
  <si>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</si>
  <si>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</si>
  <si>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</si>
  <si>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</si>
  <si>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</si>
  <si>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</si>
  <si>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</si>
  <si>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</si>
  <si>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</si>
  <si>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</si>
  <si>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</si>
  <si>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</si>
  <si>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</si>
  <si>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</si>
  <si>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</si>
  <si>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</si>
  <si>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</si>
  <si>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</si>
  <si>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</si>
  <si>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</si>
  <si>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</si>
  <si>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</si>
  <si>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</si>
  <si>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</si>
  <si>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</si>
  <si>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</si>
  <si>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</si>
  <si>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</si>
  <si>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</si>
  <si>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</si>
  <si>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</si>
  <si>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</si>
  <si>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</si>
  <si>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</si>
  <si>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</si>
  <si>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</si>
  <si>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</si>
  <si>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</si>
  <si>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</si>
  <si>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</si>
  <si>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</si>
  <si>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</si>
  <si>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</si>
  <si>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</si>
  <si>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</si>
  <si>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</si>
  <si>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</si>
  <si>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</si>
  <si>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</si>
  <si>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</si>
  <si>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</si>
  <si>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</si>
  <si>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</si>
  <si>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</si>
  <si>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</si>
  <si>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</si>
  <si>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</si>
  <si>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</si>
  <si>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</si>
  <si>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</si>
  <si>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</si>
  <si>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</si>
  <si>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</si>
  <si>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</si>
  <si>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</si>
  <si>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</si>
  <si>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</si>
  <si>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</si>
  <si>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</si>
  <si>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</si>
  <si>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</si>
  <si>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</si>
  <si>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</si>
  <si>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</si>
  <si>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</si>
  <si>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</si>
  <si>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</si>
  <si>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</si>
  <si>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</si>
  <si>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</si>
  <si>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</si>
  <si>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</si>
  <si>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</si>
  <si>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</si>
  <si>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</si>
  <si>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</si>
  <si>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</si>
  <si>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</si>
  <si>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</si>
  <si>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</si>
  <si>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</si>
  <si>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</si>
  <si>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</si>
  <si>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</si>
  <si>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</si>
  <si>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</si>
  <si>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</si>
  <si>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</si>
  <si>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</si>
  <si>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</si>
  <si>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</si>
  <si>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</si>
  <si>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</si>
  <si>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</si>
  <si>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</si>
  <si>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</si>
  <si>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</si>
  <si>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</si>
  <si>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</si>
  <si>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</si>
  <si>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</si>
  <si>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</si>
  <si>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</si>
  <si>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</si>
  <si>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</si>
  <si>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</si>
  <si>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</si>
  <si>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</si>
  <si>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</si>
  <si>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</si>
  <si>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</si>
  <si>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</si>
  <si>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</si>
  <si>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</si>
  <si>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</si>
  <si>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</si>
  <si>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</si>
  <si>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</si>
  <si>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</si>
  <si>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</si>
  <si>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</si>
  <si>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</si>
  <si>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</si>
  <si>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</si>
  <si>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</si>
  <si>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</si>
  <si>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</si>
  <si>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</si>
  <si>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</si>
  <si>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</si>
  <si>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</si>
  <si>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</si>
  <si>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</si>
  <si>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</si>
  <si>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</si>
  <si>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</si>
  <si>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</si>
  <si>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</si>
  <si>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</si>
  <si>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</si>
  <si>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</si>
  <si>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</si>
  <si>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</si>
  <si>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</si>
  <si>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</si>
  <si>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</si>
  <si>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</si>
  <si>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</si>
  <si>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</si>
  <si>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</si>
  <si>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</si>
  <si>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</si>
  <si>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</si>
  <si>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</si>
  <si>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</si>
  <si>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</si>
  <si>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</si>
  <si>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</si>
  <si>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</si>
  <si>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</si>
  <si>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</si>
  <si>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</si>
  <si>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</si>
  <si>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</si>
  <si>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</si>
  <si>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</si>
  <si>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</si>
  <si>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</si>
  <si>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</si>
  <si>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</si>
  <si>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</si>
  <si>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</si>
  <si>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</si>
  <si>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</si>
  <si>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</si>
  <si>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</si>
  <si>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</si>
  <si>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</si>
  <si>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</si>
  <si>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</si>
  <si>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</si>
  <si>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</si>
  <si>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</si>
  <si>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</si>
  <si>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</si>
  <si>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</si>
  <si>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</si>
  <si>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</si>
  <si>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</si>
  <si>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</si>
  <si>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</si>
  <si>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</si>
  <si>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</si>
  <si>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</si>
  <si>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</si>
  <si>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</si>
  <si>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</si>
  <si>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</si>
  <si>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</si>
  <si>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</si>
  <si>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</si>
  <si>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</si>
  <si>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</si>
  <si>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</si>
  <si>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</si>
  <si>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</si>
  <si>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</si>
  <si>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</si>
  <si>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</si>
  <si>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</si>
  <si>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</si>
  <si>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</si>
  <si>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</si>
  <si>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</si>
  <si>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</si>
  <si>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</si>
  <si>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</si>
  <si>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</si>
  <si>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</si>
  <si>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</si>
  <si>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</si>
  <si>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</si>
  <si>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</si>
  <si>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</si>
  <si>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</si>
  <si>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</si>
  <si>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</si>
  <si>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</si>
  <si>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</si>
  <si>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</si>
  <si>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</si>
  <si>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</si>
  <si>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</si>
  <si>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</si>
  <si>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</si>
  <si>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</si>
  <si>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</si>
  <si>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</si>
  <si>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</si>
  <si>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</si>
  <si>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</si>
  <si>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</si>
  <si>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</si>
  <si>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</si>
  <si>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</si>
  <si>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</si>
  <si>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</si>
  <si>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</si>
  <si>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</si>
  <si>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</si>
  <si>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</si>
  <si>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</si>
  <si>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</si>
  <si>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</si>
  <si>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</si>
  <si>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</si>
  <si>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</si>
  <si>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</si>
  <si>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</si>
  <si>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</si>
  <si>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</si>
  <si>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</si>
  <si>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</si>
  <si>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</si>
  <si>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</si>
  <si>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</si>
  <si>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</si>
  <si>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</si>
  <si>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</si>
  <si>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</si>
  <si>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</si>
  <si>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</si>
  <si>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</si>
  <si>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</si>
  <si>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</si>
  <si>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</si>
  <si>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</si>
  <si>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</si>
  <si>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</si>
  <si>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</si>
  <si>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</si>
  <si>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</si>
  <si>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</si>
  <si>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</si>
  <si>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</si>
  <si>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</si>
  <si>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</si>
  <si>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</si>
  <si>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</si>
  <si>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</si>
  <si>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</si>
  <si>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</si>
  <si>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</si>
  <si>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</si>
  <si>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</si>
  <si>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</si>
  <si>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</si>
  <si>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</si>
  <si>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</si>
  <si>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</si>
  <si>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</si>
  <si>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</si>
  <si>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</si>
  <si>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</si>
  <si>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</si>
  <si>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</si>
  <si>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</si>
  <si>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</si>
  <si>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</si>
  <si>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</si>
  <si>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</si>
  <si>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</si>
  <si>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</si>
  <si>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</si>
  <si>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</si>
  <si>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</si>
  <si>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</si>
  <si>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</si>
  <si>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</si>
  <si>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</si>
  <si>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</si>
  <si>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</si>
  <si>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</si>
  <si>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</si>
  <si>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</si>
  <si>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</si>
  <si>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</si>
  <si>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</si>
  <si>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</si>
  <si>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</si>
  <si>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</si>
  <si>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</si>
  <si>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</si>
  <si>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</si>
  <si>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</si>
  <si>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</si>
  <si>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</si>
  <si>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</si>
  <si>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</si>
  <si>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</si>
  <si>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</si>
  <si>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</si>
  <si>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</si>
  <si>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</si>
  <si>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</si>
  <si>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</si>
  <si>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</si>
  <si>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</si>
  <si>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</si>
  <si>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</si>
  <si>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</si>
  <si>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</si>
  <si>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</si>
  <si>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</si>
  <si>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</si>
  <si>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</si>
  <si>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</si>
  <si>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</si>
  <si>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</si>
  <si>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</si>
  <si>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</si>
  <si>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</si>
  <si>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</si>
  <si>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</si>
  <si>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</si>
  <si>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</si>
  <si>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</si>
  <si>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</si>
  <si>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</si>
  <si>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</si>
  <si>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</si>
  <si>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</si>
  <si>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</si>
  <si>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</si>
  <si>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</si>
  <si>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</si>
  <si>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</si>
  <si>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</si>
  <si>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</si>
  <si>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</si>
  <si>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</si>
  <si>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</si>
  <si>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</si>
  <si>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</si>
  <si>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</si>
  <si>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</si>
  <si>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</si>
  <si>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</si>
  <si>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</si>
  <si>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</si>
  <si>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</si>
  <si>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</si>
  <si>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</si>
  <si>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</si>
  <si>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</si>
  <si>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</si>
  <si>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</si>
  <si>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</si>
  <si>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</si>
  <si>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</si>
  <si>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</si>
  <si>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</si>
  <si>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</si>
  <si>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</si>
  <si>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</si>
  <si>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</si>
  <si>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</si>
  <si>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</si>
  <si>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</si>
  <si>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</si>
  <si>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</si>
  <si>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</si>
  <si>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</si>
  <si>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</si>
  <si>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</si>
  <si>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</si>
  <si>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</si>
  <si>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</si>
  <si>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</si>
  <si>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</si>
  <si>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</si>
  <si>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</si>
  <si>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</si>
  <si>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</si>
  <si>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</si>
  <si>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</si>
  <si>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</si>
  <si>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</si>
  <si>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</si>
  <si>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</si>
  <si>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</si>
  <si>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</si>
  <si>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</si>
  <si>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</si>
  <si>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</si>
  <si>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</si>
  <si>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</si>
  <si>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</si>
  <si>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</si>
  <si>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</si>
  <si>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</si>
  <si>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</si>
  <si>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</si>
  <si>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</si>
  <si>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</si>
  <si>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</si>
  <si>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</si>
  <si>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</si>
  <si>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</si>
  <si>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</si>
  <si>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</si>
  <si>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</si>
  <si>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</si>
  <si>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</si>
  <si>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</si>
  <si>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</si>
  <si>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</si>
  <si>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</si>
  <si>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</si>
  <si>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</si>
  <si>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</si>
  <si>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</si>
  <si>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</si>
  <si>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</si>
  <si>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</si>
  <si>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</si>
  <si>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</si>
  <si>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</si>
  <si>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</si>
  <si>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</si>
  <si>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</si>
  <si>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</si>
  <si>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</si>
  <si>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</si>
  <si>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</si>
  <si>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</si>
  <si>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</si>
  <si>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</si>
  <si>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</si>
  <si>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</si>
  <si>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</si>
  <si>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</si>
  <si>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</si>
  <si>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</si>
  <si>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</si>
  <si>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</si>
  <si>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</si>
  <si>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</si>
  <si>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</si>
  <si>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</si>
  <si>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</si>
  <si>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</si>
  <si>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</si>
  <si>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</si>
  <si>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</si>
  <si>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</si>
  <si>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</si>
  <si>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</si>
  <si>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</si>
  <si>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</si>
  <si>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</si>
  <si>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</si>
  <si>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</si>
  <si>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</si>
  <si>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</si>
  <si>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</si>
  <si>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</si>
  <si>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</si>
  <si>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</si>
  <si>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</si>
  <si>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</si>
  <si>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</si>
  <si>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</si>
  <si>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</si>
  <si>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</si>
  <si>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</si>
  <si>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</si>
  <si>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</si>
  <si>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</si>
  <si>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</si>
  <si>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</si>
  <si>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</si>
  <si>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</si>
  <si>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</si>
  <si>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</si>
  <si>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</si>
  <si>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</si>
  <si>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</si>
  <si>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</si>
  <si>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</si>
  <si>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</si>
  <si>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</si>
  <si>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</si>
  <si>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</si>
  <si>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</si>
  <si>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</si>
  <si>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</si>
  <si>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</si>
  <si>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</si>
  <si>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</si>
  <si>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</si>
  <si>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</si>
  <si>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</si>
  <si>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</si>
  <si>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</si>
  <si>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</si>
  <si>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</si>
  <si>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</si>
  <si>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</si>
  <si>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</si>
  <si>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</si>
  <si>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</si>
  <si>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</si>
  <si>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</si>
  <si>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</si>
  <si>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</si>
  <si>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</si>
  <si>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</si>
  <si>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</si>
  <si>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</si>
  <si>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</si>
  <si>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</si>
  <si>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</si>
  <si>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</si>
  <si>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</si>
  <si>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</si>
  <si>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</si>
  <si>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</si>
  <si>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</si>
  <si>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</si>
  <si>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</si>
  <si>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</si>
  <si>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</si>
  <si>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</si>
  <si>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</si>
  <si>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</si>
  <si>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</si>
  <si>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</si>
  <si>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</si>
  <si>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</si>
  <si>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</si>
  <si>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</si>
  <si>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</si>
  <si>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</si>
  <si>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</si>
  <si>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</si>
  <si>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</si>
  <si>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</si>
  <si>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</si>
  <si>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</si>
  <si>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</si>
  <si>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</si>
  <si>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</si>
  <si>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</si>
  <si>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</si>
  <si>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</si>
  <si>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</si>
  <si>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</si>
  <si>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</si>
  <si>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</si>
  <si>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</si>
  <si>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</si>
  <si>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</si>
  <si>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</si>
  <si>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</si>
  <si>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</si>
  <si>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</si>
  <si>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</si>
  <si>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</si>
  <si>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</si>
  <si>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</si>
  <si>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</si>
  <si>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</si>
  <si>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</si>
  <si>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</si>
  <si>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</si>
  <si>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</si>
  <si>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</si>
  <si>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</si>
  <si>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</si>
  <si>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</si>
  <si>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</si>
  <si>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</si>
  <si>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</si>
  <si>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</si>
  <si>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</si>
  <si>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</si>
  <si>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</si>
  <si>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</si>
  <si>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</si>
  <si>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</si>
  <si>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</si>
  <si>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</si>
  <si>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</si>
  <si>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</si>
  <si>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</si>
  <si>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</si>
  <si>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</si>
  <si>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</si>
  <si>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</si>
  <si>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</si>
  <si>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</si>
  <si>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</si>
  <si>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</si>
  <si>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</si>
  <si>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</si>
  <si>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</si>
  <si>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</si>
  <si>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</si>
  <si>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</si>
  <si>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</si>
  <si>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</si>
  <si>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</si>
  <si>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</si>
  <si>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</si>
  <si>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</si>
  <si>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</si>
  <si>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</si>
  <si>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</si>
  <si>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</si>
  <si>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</si>
  <si>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</si>
  <si>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</si>
  <si>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</si>
  <si>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</si>
  <si>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</si>
  <si>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</si>
  <si>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</si>
  <si>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</si>
  <si>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</si>
  <si>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</si>
  <si>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</si>
  <si>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</si>
  <si>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</si>
  <si>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</si>
  <si>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</si>
  <si>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</si>
  <si>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</si>
  <si>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</si>
  <si>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</si>
  <si>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</si>
  <si>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</si>
  <si>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</si>
  <si>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</si>
  <si>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</si>
  <si>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</si>
  <si>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</si>
  <si>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</si>
  <si>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</si>
  <si>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</si>
  <si>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</si>
  <si>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</si>
  <si>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</si>
  <si>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</si>
  <si>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</si>
  <si>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</si>
  <si>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</si>
  <si>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</si>
  <si>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</si>
  <si>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</si>
  <si>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</si>
  <si>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</si>
  <si>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</si>
  <si>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</si>
  <si>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</si>
  <si>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</si>
  <si>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</si>
  <si>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</si>
  <si>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</si>
  <si>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</si>
  <si>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</si>
  <si>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</si>
  <si>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</si>
  <si>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</si>
  <si>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</si>
  <si>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</si>
  <si>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</si>
  <si>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</si>
  <si>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</si>
  <si>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</si>
  <si>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</si>
  <si>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</si>
  <si>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</si>
  <si>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</si>
  <si>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</si>
  <si>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</si>
  <si>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</si>
  <si>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</si>
  <si>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</si>
  <si>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</si>
  <si>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</si>
  <si>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</si>
  <si>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</si>
  <si>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</si>
  <si>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</si>
  <si>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</si>
  <si>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</si>
  <si>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</si>
  <si>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</si>
  <si>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</si>
  <si>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</si>
  <si>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</si>
  <si>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</si>
  <si>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</si>
  <si>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</si>
  <si>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</si>
  <si>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</si>
  <si>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</si>
  <si>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</si>
  <si>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</si>
  <si>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</si>
  <si>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</si>
  <si>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</si>
  <si>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</si>
  <si>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</si>
  <si>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</si>
  <si>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</si>
  <si>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</si>
  <si>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</si>
  <si>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</si>
  <si>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</si>
  <si>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</si>
  <si>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</si>
  <si>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</si>
  <si>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</si>
  <si>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</si>
  <si>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</si>
  <si>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</si>
  <si>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</si>
  <si>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</si>
  <si>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</si>
  <si>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</si>
  <si>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</si>
  <si>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</si>
  <si>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</si>
  <si>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</si>
  <si>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</si>
  <si>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</si>
  <si>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</si>
  <si>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</si>
  <si>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</si>
  <si>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</si>
  <si>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</si>
  <si>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</si>
  <si>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</si>
  <si>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</si>
  <si>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</si>
  <si>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</si>
  <si>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</si>
  <si>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</si>
  <si>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</si>
  <si>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</si>
  <si>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</si>
  <si>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</si>
  <si>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</si>
  <si>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</si>
  <si>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</si>
  <si>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</si>
  <si>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</si>
  <si>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</si>
  <si>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</si>
  <si>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</si>
  <si>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</si>
  <si>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</si>
  <si>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</si>
  <si>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</si>
  <si>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</si>
  <si>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</si>
  <si>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</si>
  <si>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</si>
  <si>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</si>
  <si>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</si>
  <si>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</si>
  <si>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</si>
  <si>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</si>
  <si>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</si>
  <si>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</si>
  <si>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</si>
  <si>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</si>
  <si>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</si>
  <si>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</si>
  <si>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</si>
  <si>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</si>
  <si>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</si>
  <si>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</si>
  <si>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</si>
  <si>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</si>
  <si>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</si>
  <si>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</si>
  <si>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</si>
  <si>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</si>
  <si>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</si>
  <si>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</si>
  <si>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</si>
  <si>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</si>
  <si>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</si>
  <si>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</si>
  <si>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</si>
  <si>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</si>
  <si>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</si>
  <si>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</si>
  <si>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</si>
  <si>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</si>
  <si>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</si>
  <si>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</si>
  <si>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</si>
  <si>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</si>
  <si>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</si>
  <si>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</si>
  <si>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</si>
  <si>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</si>
  <si>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</si>
  <si>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</si>
  <si>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</si>
  <si>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</si>
  <si>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</si>
  <si>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</si>
  <si>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</si>
  <si>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</si>
  <si>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</si>
  <si>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</si>
  <si>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</si>
  <si>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</si>
  <si>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</si>
  <si>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</si>
  <si>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</si>
  <si>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</si>
  <si>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</si>
  <si>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</si>
  <si>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</si>
  <si>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</si>
  <si>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</si>
  <si>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</si>
  <si>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</si>
  <si>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</si>
  <si>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</si>
  <si>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</si>
  <si>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</si>
  <si>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</si>
  <si>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</si>
  <si>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</si>
  <si>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</si>
  <si>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</si>
  <si>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</si>
  <si>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</si>
  <si>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</si>
  <si>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</si>
  <si>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</si>
  <si>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</si>
  <si>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</si>
  <si>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</si>
  <si>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</si>
  <si>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</si>
  <si>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</si>
  <si>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</si>
  <si>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</si>
  <si>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</si>
  <si>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</si>
  <si>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</si>
  <si>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</si>
  <si>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</si>
  <si>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</si>
  <si>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</si>
  <si>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</si>
  <si>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</si>
  <si>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</si>
  <si>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</si>
  <si>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</si>
  <si>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</si>
  <si>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</si>
  <si>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</si>
  <si>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</si>
  <si>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</si>
  <si>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</si>
  <si>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</si>
  <si>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</si>
  <si>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</si>
  <si>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</si>
  <si>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</si>
  <si>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</si>
  <si>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</si>
  <si>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</si>
  <si>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</si>
  <si>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</si>
  <si>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</si>
  <si>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</si>
  <si>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</si>
  <si>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</si>
  <si>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</si>
  <si>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</si>
  <si>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</si>
  <si>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</si>
  <si>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</si>
  <si>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</si>
  <si>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</si>
  <si>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</si>
  <si>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</si>
  <si>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</si>
  <si>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</si>
  <si>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</si>
  <si>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</si>
  <si>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</si>
  <si>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</si>
  <si>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</si>
  <si>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</si>
  <si>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</si>
  <si>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</si>
  <si>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</si>
  <si>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</si>
  <si>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</si>
  <si>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</si>
  <si>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</si>
  <si>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</si>
  <si>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</si>
  <si>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</si>
  <si>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</si>
  <si>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</si>
  <si>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</si>
  <si>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</si>
  <si>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</si>
  <si>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</si>
  <si>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</si>
  <si>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</si>
  <si>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</si>
  <si>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</si>
  <si>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</si>
  <si>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</si>
  <si>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</si>
  <si>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</si>
  <si>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</si>
  <si>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</si>
  <si>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</si>
  <si>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</si>
  <si>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</si>
  <si>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</si>
  <si>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</si>
  <si>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</si>
  <si>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</si>
  <si>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</si>
  <si>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</si>
  <si>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</si>
  <si>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</si>
  <si>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</si>
  <si>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</si>
  <si>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</si>
  <si>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</si>
  <si>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</si>
  <si>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</si>
  <si>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</si>
  <si>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</si>
  <si>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</si>
  <si>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</si>
  <si>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</si>
  <si>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</si>
  <si>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</si>
  <si>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</si>
  <si>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</si>
  <si>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</si>
  <si>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</si>
  <si>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</si>
  <si>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</si>
  <si>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</si>
  <si>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</si>
  <si>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</si>
  <si>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</si>
  <si>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</si>
  <si>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</si>
  <si>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</si>
  <si>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</si>
  <si>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</si>
  <si>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</si>
  <si>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</si>
  <si>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</si>
  <si>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</si>
  <si>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</si>
  <si>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</si>
  <si>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</si>
  <si>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</si>
  <si>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</si>
  <si>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</si>
  <si>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</si>
  <si>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</si>
  <si>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</si>
  <si>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</si>
  <si>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</si>
  <si>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</si>
  <si>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</si>
  <si>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</si>
  <si>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</si>
  <si>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</si>
  <si>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</si>
  <si>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</si>
  <si>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</si>
  <si>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</si>
  <si>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</si>
  <si>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</si>
  <si>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</si>
  <si>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</si>
  <si>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</si>
  <si>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</si>
  <si>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</si>
  <si>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</si>
  <si>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</si>
  <si>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</si>
  <si>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</si>
  <si>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</si>
  <si>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</si>
  <si>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</si>
  <si>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</si>
  <si>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</si>
  <si>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</si>
  <si>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</si>
  <si>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</si>
  <si>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</si>
  <si>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</si>
  <si>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</si>
  <si>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</si>
  <si>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</si>
  <si>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</si>
  <si>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</si>
  <si>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</si>
  <si>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</si>
  <si>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</si>
  <si>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</si>
  <si>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</si>
  <si>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</si>
  <si>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</si>
  <si>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</si>
  <si>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</si>
  <si>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</si>
  <si>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</si>
  <si>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</si>
  <si>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</si>
  <si>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</si>
  <si>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</si>
  <si>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</si>
  <si>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</si>
  <si>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</si>
  <si>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</si>
  <si>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</si>
  <si>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</si>
  <si>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</si>
  <si>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</si>
  <si>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</si>
  <si>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</si>
  <si>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</si>
  <si>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</si>
  <si>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</si>
  <si>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</si>
  <si>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</si>
  <si>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</si>
  <si>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</si>
  <si>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</si>
  <si>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</si>
  <si>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</si>
  <si>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</si>
  <si>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</si>
  <si>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</si>
  <si>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</si>
  <si>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</si>
  <si>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</si>
  <si>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</si>
  <si>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</si>
  <si>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</si>
  <si>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</si>
  <si>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</si>
  <si>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</si>
  <si>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</si>
  <si>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</si>
  <si>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</si>
  <si>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</si>
  <si>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</si>
  <si>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</si>
  <si>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</si>
  <si>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</si>
  <si>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</si>
  <si>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</si>
  <si>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</si>
  <si>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</si>
  <si>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</si>
  <si>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</si>
  <si>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</si>
  <si>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</si>
  <si>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</si>
  <si>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</si>
  <si>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</si>
  <si>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</si>
  <si>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</si>
  <si>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</si>
  <si>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</si>
  <si>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</si>
  <si>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</si>
  <si>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</si>
  <si>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</si>
  <si>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</si>
  <si>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</si>
  <si>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</si>
  <si>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</si>
  <si>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</si>
  <si>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</si>
  <si>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</si>
  <si>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</si>
  <si>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</si>
  <si>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</si>
  <si>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</si>
  <si>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</si>
  <si>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</si>
  <si>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</si>
  <si>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</si>
  <si>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</si>
  <si>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</si>
  <si>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</si>
  <si>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</si>
  <si>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</si>
  <si>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</si>
  <si>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</si>
  <si>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</si>
  <si>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</si>
  <si>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</si>
  <si>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</si>
  <si>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</si>
  <si>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</si>
  <si>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</si>
  <si>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</si>
  <si>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</si>
  <si>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</si>
  <si>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</si>
  <si>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</si>
  <si>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</si>
  <si>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</si>
  <si>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</si>
  <si>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</si>
  <si>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</si>
  <si>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</si>
  <si>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</si>
  <si>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</si>
  <si>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</si>
  <si>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</si>
  <si>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</si>
  <si>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</si>
  <si>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</si>
  <si>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</si>
  <si>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</si>
  <si>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</si>
  <si>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</si>
  <si>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</si>
  <si>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</si>
  <si>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</si>
  <si>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</si>
  <si>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</si>
  <si>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</si>
  <si>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</si>
  <si>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</si>
  <si>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</si>
  <si>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</si>
  <si>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</si>
  <si>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</si>
  <si>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</si>
  <si>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</si>
  <si>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</si>
  <si>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</si>
  <si>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</si>
  <si>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</si>
  <si>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</si>
  <si>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</si>
  <si>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</si>
  <si>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</si>
  <si>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</si>
  <si>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</si>
  <si>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</si>
  <si>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</si>
  <si>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</si>
  <si>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</si>
  <si>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</si>
  <si>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</si>
  <si>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</si>
  <si>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</si>
  <si>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</si>
  <si>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</si>
  <si>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</si>
  <si>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</si>
  <si>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</si>
  <si>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</si>
  <si>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</si>
  <si>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</si>
  <si>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</si>
  <si>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</si>
  <si>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</si>
  <si>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</si>
  <si>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</si>
  <si>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</si>
  <si>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</si>
  <si>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</si>
  <si>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</si>
  <si>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</si>
  <si>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</si>
  <si>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</si>
  <si>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</si>
  <si>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</si>
  <si>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</si>
  <si>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</si>
  <si>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</si>
  <si>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</si>
  <si>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</si>
  <si>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</si>
  <si>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</si>
  <si>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</si>
  <si>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</si>
  <si>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</si>
  <si>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</si>
  <si>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</si>
  <si>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</si>
  <si>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</si>
  <si>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</si>
  <si>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</si>
  <si>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</si>
  <si>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</si>
  <si>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</si>
  <si>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</si>
  <si>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</si>
  <si>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</si>
  <si>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</si>
  <si>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</si>
  <si>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</si>
  <si>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</si>
  <si>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</si>
  <si>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</si>
  <si>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</si>
  <si>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</si>
  <si>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</si>
  <si>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</si>
  <si>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</si>
  <si>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</si>
  <si>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</si>
  <si>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</si>
  <si>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</si>
  <si>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</si>
  <si>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</si>
  <si>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</si>
  <si>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</si>
  <si>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</si>
  <si>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</si>
  <si>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</si>
  <si>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</si>
  <si>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</si>
  <si>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</si>
  <si>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</si>
  <si>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</si>
  <si>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</si>
  <si>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</si>
  <si>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</si>
  <si>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</si>
  <si>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</si>
  <si>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</si>
  <si>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</si>
  <si>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</si>
  <si>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</si>
  <si>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</si>
  <si>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</si>
  <si>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</si>
  <si>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</si>
  <si>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</si>
  <si>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</si>
  <si>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</si>
  <si>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</si>
  <si>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</si>
  <si>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</si>
  <si>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</si>
  <si>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</si>
  <si>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</si>
  <si>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</si>
  <si>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</si>
  <si>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</si>
  <si>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</si>
  <si>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</si>
  <si>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</si>
  <si>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</si>
  <si>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</si>
  <si>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</si>
  <si>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</si>
  <si>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</si>
  <si>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</si>
  <si>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</si>
  <si>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</si>
  <si>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</si>
  <si>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</si>
  <si>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</si>
  <si>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</si>
  <si>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</si>
  <si>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</si>
  <si>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</si>
  <si>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</si>
  <si>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</si>
  <si>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</si>
  <si>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</si>
  <si>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</si>
  <si>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</si>
  <si>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</si>
  <si>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</si>
  <si>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</si>
  <si>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</si>
  <si>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</si>
  <si>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</si>
  <si>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</si>
  <si>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</si>
  <si>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</si>
  <si>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</si>
  <si>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</si>
  <si>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</si>
  <si>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</si>
  <si>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</si>
  <si>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</si>
  <si>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</si>
  <si>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</si>
  <si>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</si>
  <si>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</si>
  <si>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</si>
  <si>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</si>
  <si>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</si>
  <si>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</si>
  <si>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</si>
  <si>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</si>
  <si>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</si>
  <si>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</si>
  <si>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</si>
  <si>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</si>
  <si>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</si>
  <si>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</si>
  <si>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</si>
  <si>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</si>
  <si>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</si>
  <si>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</si>
  <si>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</si>
  <si>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</si>
  <si>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</si>
  <si>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</si>
  <si>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</si>
  <si>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</si>
  <si>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</si>
  <si>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</si>
  <si>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</si>
  <si>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</si>
  <si>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</si>
  <si>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</si>
  <si>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</si>
  <si>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</si>
  <si>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</si>
  <si>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</si>
  <si>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</si>
  <si>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</si>
  <si>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</si>
  <si>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</si>
  <si>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</si>
  <si>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</si>
  <si>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</si>
  <si>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</si>
  <si>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</si>
  <si>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</si>
  <si>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</si>
  <si>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</si>
  <si>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</si>
  <si>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</si>
  <si>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</si>
  <si>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</si>
  <si>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</si>
  <si>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</si>
  <si>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</si>
  <si>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</si>
  <si>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</si>
  <si>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</si>
  <si>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</si>
  <si>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</si>
  <si>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</si>
  <si>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</si>
  <si>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</si>
  <si>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</si>
  <si>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</si>
  <si>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</si>
  <si>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</si>
  <si>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</si>
  <si>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</si>
  <si>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</si>
  <si>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</si>
  <si>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</si>
  <si>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</si>
  <si>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</si>
  <si>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</si>
  <si>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</si>
  <si>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</si>
  <si>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</si>
  <si>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</si>
  <si>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</si>
  <si>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</si>
  <si>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</si>
  <si>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</si>
  <si>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</si>
  <si>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</si>
  <si>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</si>
  <si>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</si>
  <si>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</si>
  <si>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</si>
  <si>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</si>
  <si>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</si>
  <si>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</si>
  <si>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</si>
  <si>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</si>
  <si>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</si>
  <si>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</si>
  <si>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</si>
  <si>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</si>
  <si>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</si>
  <si>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</si>
  <si>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</si>
  <si>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</si>
  <si>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</si>
  <si>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</si>
  <si>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</si>
  <si>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</si>
  <si>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</si>
  <si>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</si>
  <si>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</si>
  <si>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</si>
  <si>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</si>
  <si>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</si>
  <si>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</si>
  <si>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</si>
  <si>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</si>
  <si>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</si>
  <si>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</si>
  <si>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</si>
  <si>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</si>
  <si>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</si>
  <si>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</si>
  <si>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</si>
  <si>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</si>
  <si>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</si>
  <si>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</si>
  <si>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</si>
  <si>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</si>
  <si>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</si>
  <si>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</si>
  <si>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</si>
  <si>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</si>
  <si>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</si>
  <si>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</si>
  <si>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</si>
  <si>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</si>
  <si>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</si>
  <si>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</si>
  <si>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</si>
  <si>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</si>
  <si>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</si>
  <si>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</si>
  <si>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</si>
  <si>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</si>
  <si>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</si>
  <si>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</si>
  <si>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</si>
  <si>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</si>
  <si>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</si>
  <si>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</si>
  <si>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</si>
  <si>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</si>
  <si>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</si>
  <si>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</si>
  <si>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</si>
  <si>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</si>
  <si>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</si>
  <si>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</si>
  <si>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</si>
  <si>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</si>
  <si>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</si>
  <si>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</si>
  <si>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</si>
  <si>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</si>
  <si>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</si>
  <si>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</si>
  <si>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</si>
  <si>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</si>
  <si>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</si>
  <si>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</si>
  <si>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</si>
  <si>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</si>
  <si>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</si>
  <si>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</si>
  <si>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</si>
  <si>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</si>
  <si>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</si>
  <si>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</si>
  <si>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</si>
  <si>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</si>
  <si>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</si>
  <si>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</si>
  <si>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</si>
  <si>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</si>
  <si>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</si>
  <si>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</si>
  <si>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</si>
  <si>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</si>
  <si>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</si>
  <si>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</si>
  <si>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</si>
  <si>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</si>
  <si>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</si>
  <si>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</si>
  <si>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</si>
  <si>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</si>
  <si>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</si>
  <si>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</si>
  <si>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</si>
  <si>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</si>
  <si>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</si>
  <si>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</si>
  <si>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</si>
  <si>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</si>
  <si>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</si>
  <si>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</si>
  <si>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</si>
  <si>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</si>
  <si>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</si>
  <si>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</si>
  <si>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</si>
  <si>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</si>
  <si>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</si>
  <si>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</si>
  <si>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</si>
  <si>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</si>
  <si>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</si>
  <si>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</si>
  <si>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</si>
  <si>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</si>
  <si>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</si>
  <si>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</si>
  <si>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</si>
  <si>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</si>
  <si>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</si>
  <si>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</si>
  <si>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</si>
  <si>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</si>
  <si>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</si>
  <si>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</si>
  <si>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</si>
  <si>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</si>
  <si>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</si>
  <si>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</si>
  <si>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</si>
  <si>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</si>
  <si>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</si>
  <si>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</si>
  <si>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</si>
  <si>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</si>
  <si>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</si>
  <si>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</si>
  <si>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</si>
  <si>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</si>
  <si>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</si>
  <si>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</si>
  <si>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</si>
  <si>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</si>
  <si>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</si>
  <si>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</si>
  <si>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</si>
  <si>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</si>
  <si>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</si>
  <si>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</si>
  <si>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</si>
  <si>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</si>
  <si>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</si>
  <si>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</si>
  <si>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</si>
  <si>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</si>
  <si>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</si>
  <si>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</si>
  <si>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</si>
  <si>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</si>
  <si>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</si>
  <si>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</si>
  <si>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</si>
  <si>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</si>
  <si>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</si>
  <si>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</si>
  <si>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</si>
  <si>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</si>
  <si>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</si>
  <si>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</si>
  <si>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</si>
  <si>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</si>
  <si>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</si>
  <si>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</si>
  <si>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</si>
  <si>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</si>
  <si>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</si>
  <si>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</si>
  <si>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</si>
  <si>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</si>
  <si>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</si>
  <si>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</si>
  <si>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</si>
  <si>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</si>
  <si>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</si>
  <si>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</si>
  <si>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</si>
  <si>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</si>
  <si>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</si>
  <si>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</si>
  <si>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</si>
  <si>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</si>
  <si>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</si>
  <si>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</si>
  <si>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</si>
  <si>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</si>
  <si>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</si>
  <si>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</si>
  <si>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</si>
  <si>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</si>
  <si>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</si>
  <si>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</si>
  <si>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</si>
  <si>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</si>
  <si>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</si>
  <si>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</si>
  <si>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</si>
  <si>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</si>
  <si>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</si>
  <si>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</si>
  <si>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</si>
  <si>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</si>
  <si>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</si>
  <si>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</si>
  <si>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</si>
  <si>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</si>
  <si>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</si>
  <si>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</si>
  <si>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</si>
  <si>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</si>
  <si>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</si>
  <si>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</si>
  <si>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</si>
  <si>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</si>
  <si>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</si>
  <si>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</si>
  <si>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</si>
  <si>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</si>
  <si>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</si>
  <si>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</si>
  <si>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</si>
  <si>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</si>
  <si>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</si>
  <si>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</si>
  <si>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</si>
  <si>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</si>
  <si>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</si>
  <si>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</si>
  <si>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</si>
  <si>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</si>
  <si>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</si>
  <si>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</si>
  <si>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</si>
  <si>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</si>
  <si>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</si>
  <si>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</si>
  <si>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</si>
  <si>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</si>
  <si>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</si>
  <si>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</si>
  <si>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</si>
  <si>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</si>
  <si>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</si>
  <si>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</si>
  <si>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</si>
  <si>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</si>
  <si>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</si>
  <si>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</si>
  <si>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</si>
  <si>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</si>
  <si>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</si>
  <si>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</si>
  <si>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</si>
  <si>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</si>
  <si>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</si>
  <si>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</si>
  <si>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</si>
  <si>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</si>
  <si>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</si>
  <si>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</si>
  <si>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</si>
  <si>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</si>
  <si>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</si>
  <si>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</si>
  <si>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</si>
  <si>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</si>
  <si>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</si>
  <si>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</si>
  <si>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</si>
  <si>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</si>
  <si>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</si>
  <si>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</si>
  <si>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</si>
  <si>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</si>
  <si>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</si>
  <si>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</si>
  <si>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</si>
  <si>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</si>
  <si>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</si>
  <si>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</si>
  <si>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</si>
  <si>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</si>
  <si>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</si>
  <si>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</si>
  <si>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</si>
  <si>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</si>
  <si>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</si>
  <si>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</si>
  <si>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</si>
  <si>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</si>
  <si>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</si>
  <si>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</si>
  <si>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</si>
  <si>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</si>
  <si>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</si>
  <si>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</si>
  <si>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</si>
  <si>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</si>
  <si>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</si>
  <si>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</si>
  <si>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</si>
  <si>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</si>
  <si>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</si>
  <si>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</si>
  <si>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</si>
  <si>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</si>
  <si>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</si>
  <si>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</si>
  <si>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</si>
  <si>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</si>
  <si>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</si>
  <si>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</si>
  <si>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</si>
  <si>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</si>
  <si>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</si>
  <si>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</si>
  <si>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</si>
  <si>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</si>
  <si>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</si>
  <si>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</si>
  <si>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</si>
  <si>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</si>
  <si>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</si>
  <si>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</si>
  <si>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</si>
  <si>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</si>
  <si>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</si>
  <si>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</si>
  <si>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</si>
  <si>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</si>
  <si>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</si>
  <si>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</si>
  <si>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</si>
  <si>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</si>
  <si>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</si>
  <si>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</si>
  <si>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</si>
  <si>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</si>
  <si>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</si>
  <si>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</si>
  <si>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</si>
  <si>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</si>
  <si>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</si>
  <si>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</si>
  <si>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</si>
  <si>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</si>
  <si>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</si>
  <si>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</si>
  <si>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</si>
  <si>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</si>
  <si>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</si>
  <si>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</si>
  <si>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</si>
  <si>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</si>
  <si>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</si>
  <si>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</si>
  <si>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</si>
  <si>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</si>
  <si>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</si>
  <si>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</si>
  <si>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</si>
  <si>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</si>
  <si>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</si>
  <si>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</si>
  <si>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</si>
  <si>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</si>
  <si>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</si>
  <si>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</si>
  <si>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</si>
  <si>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</si>
  <si>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</si>
  <si>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</si>
  <si>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</si>
  <si>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</si>
  <si>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</si>
  <si>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</si>
  <si>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</si>
  <si>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</si>
  <si>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</si>
  <si>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</si>
  <si>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</si>
  <si>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</si>
  <si>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</si>
  <si>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</si>
  <si>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</si>
  <si>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</si>
  <si>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</si>
  <si>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</si>
  <si>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</si>
  <si>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</si>
  <si>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</si>
  <si>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</si>
  <si>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</si>
  <si>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</si>
  <si>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</si>
  <si>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</si>
  <si>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</si>
  <si>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</si>
  <si>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</si>
  <si>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</si>
  <si>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</si>
  <si>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</si>
  <si>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</si>
  <si>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</si>
  <si>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</si>
  <si>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</si>
  <si>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</si>
  <si>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</si>
  <si>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</si>
  <si>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</si>
  <si>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</si>
  <si>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</si>
  <si>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</si>
  <si>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</si>
  <si>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</si>
  <si>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</si>
  <si>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</si>
  <si>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</si>
  <si>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</si>
  <si>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</si>
  <si>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</si>
  <si>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</si>
  <si>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</si>
  <si>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</si>
  <si>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</si>
  <si>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</si>
  <si>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</si>
  <si>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</si>
  <si>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</si>
  <si>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</si>
  <si>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</si>
  <si>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</si>
  <si>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</si>
  <si>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</si>
  <si>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</si>
  <si>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</si>
  <si>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</si>
  <si>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</si>
  <si>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</si>
  <si>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</si>
  <si>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</si>
  <si>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</si>
  <si>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</si>
  <si>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</si>
  <si>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</si>
  <si>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</si>
  <si>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</si>
  <si>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</si>
  <si>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</si>
  <si>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</si>
  <si>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</si>
  <si>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</si>
  <si>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</si>
  <si>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</si>
  <si>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</si>
  <si>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</si>
  <si>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</si>
  <si>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</si>
  <si>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</si>
  <si>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</si>
  <si>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</si>
  <si>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</si>
  <si>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</si>
  <si>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</si>
  <si>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</si>
  <si>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</si>
  <si>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</si>
  <si>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</si>
  <si>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</si>
  <si>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</si>
  <si>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</si>
  <si>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</si>
  <si>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</si>
  <si>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</si>
  <si>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</si>
  <si>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</si>
  <si>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</si>
  <si>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</si>
  <si>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</si>
  <si>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</si>
  <si>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</si>
  <si>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</si>
  <si>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</si>
  <si>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</si>
  <si>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</si>
  <si>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</si>
  <si>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</si>
  <si>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</si>
  <si>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</si>
  <si>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</si>
  <si>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</si>
  <si>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</si>
  <si>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</si>
  <si>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</si>
  <si>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</si>
  <si>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</si>
  <si>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</si>
  <si>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</si>
  <si>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</si>
  <si>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</si>
  <si>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</si>
  <si>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</si>
  <si>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</si>
  <si>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</si>
  <si>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</si>
  <si>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</si>
  <si>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</si>
  <si>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</si>
  <si>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</si>
  <si>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</si>
  <si>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</si>
  <si>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</si>
  <si>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</si>
  <si>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</si>
  <si>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</si>
  <si>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</si>
  <si>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</si>
  <si>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</si>
  <si>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</si>
  <si>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</si>
  <si>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</si>
  <si>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</si>
  <si>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</si>
  <si>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</si>
  <si>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</si>
  <si>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</si>
  <si>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</si>
  <si>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</si>
  <si>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</si>
  <si>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</si>
  <si>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</si>
  <si>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</si>
  <si>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</si>
  <si>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</si>
  <si>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</si>
  <si>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</si>
  <si>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</si>
  <si>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</si>
  <si>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</si>
  <si>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</si>
  <si>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</si>
  <si>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</si>
  <si>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</si>
  <si>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</si>
  <si>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</si>
  <si>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</si>
  <si>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</si>
  <si>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</si>
  <si>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</si>
  <si>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</si>
  <si>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</si>
  <si>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</si>
  <si>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</si>
  <si>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</si>
  <si>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</si>
  <si>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</si>
  <si>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</si>
  <si>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</si>
  <si>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</si>
  <si>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</si>
  <si>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</si>
  <si>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</si>
  <si>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</si>
  <si>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</si>
  <si>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</si>
  <si>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</si>
  <si>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</si>
  <si>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</si>
  <si>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</si>
  <si>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</si>
  <si>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</si>
  <si>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</si>
  <si>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</si>
  <si>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</si>
  <si>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</si>
  <si>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</si>
  <si>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</si>
  <si>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</si>
  <si>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</si>
  <si>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</si>
  <si>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</si>
  <si>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</si>
  <si>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</si>
  <si>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</si>
  <si>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</si>
  <si>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</si>
  <si>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</si>
  <si>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</si>
  <si>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</si>
  <si>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</si>
  <si>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</si>
  <si>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</si>
  <si>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</si>
  <si>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</si>
  <si>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</si>
  <si>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</si>
  <si>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</si>
  <si>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</si>
  <si>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</si>
  <si>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</si>
  <si>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</si>
  <si>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</si>
  <si>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</si>
  <si>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</si>
  <si>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</si>
  <si>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</si>
  <si>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</si>
  <si>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</si>
  <si>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</si>
  <si>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</si>
  <si>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</si>
  <si>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</si>
  <si>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</si>
  <si>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</si>
  <si>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</si>
  <si>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</si>
  <si>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</si>
  <si>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</si>
  <si>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</si>
  <si>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</si>
  <si>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</si>
  <si>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</si>
  <si>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</si>
  <si>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</si>
  <si>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</si>
  <si>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</si>
  <si>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</si>
  <si>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</si>
  <si>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</si>
  <si>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</si>
  <si>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</si>
  <si>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</si>
  <si>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</si>
  <si>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</si>
  <si>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</si>
  <si>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</si>
  <si>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</si>
  <si>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</si>
  <si>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</si>
  <si>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</si>
  <si>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</si>
  <si>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</si>
  <si>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</si>
  <si>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</si>
  <si>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</si>
  <si>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</si>
  <si>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</si>
  <si>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</si>
  <si>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</si>
  <si>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</si>
  <si>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</si>
  <si>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</si>
  <si>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</si>
  <si>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</si>
  <si>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</si>
  <si>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</si>
  <si>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</si>
  <si>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</si>
  <si>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</si>
  <si>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</si>
  <si>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</si>
  <si>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</si>
  <si>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</si>
  <si>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</si>
  <si>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</si>
  <si>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</si>
  <si>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</si>
  <si>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</si>
  <si>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</si>
  <si>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</si>
  <si>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</si>
  <si>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</si>
  <si>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</si>
  <si>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</si>
  <si>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</si>
  <si>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</si>
  <si>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</si>
  <si>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</si>
  <si>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</si>
  <si>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</si>
  <si>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</si>
  <si>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</si>
  <si>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</si>
  <si>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</si>
  <si>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</si>
  <si>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</si>
  <si>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</si>
  <si>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</si>
  <si>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</si>
  <si>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</si>
  <si>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</si>
  <si>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</si>
  <si>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</si>
  <si>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</si>
  <si>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</si>
  <si>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</si>
  <si>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</si>
  <si>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</si>
  <si>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</si>
  <si>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</si>
  <si>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</si>
  <si>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</si>
  <si>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</si>
  <si>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</si>
  <si>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</si>
  <si>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</si>
  <si>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</si>
  <si>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</si>
  <si>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</si>
  <si>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</si>
  <si>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</si>
  <si>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</si>
  <si>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</si>
  <si>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</si>
  <si>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</si>
  <si>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</si>
  <si>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</si>
  <si>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</si>
  <si>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</si>
  <si>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</si>
  <si>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</si>
  <si>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</si>
  <si>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</si>
  <si>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</si>
  <si>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</si>
  <si>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</si>
  <si>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</si>
  <si>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</si>
  <si>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</si>
  <si>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</si>
  <si>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</si>
  <si>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</si>
  <si>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</si>
  <si>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</si>
  <si>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</si>
  <si>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</si>
  <si>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</si>
  <si>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</si>
  <si>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</si>
  <si>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</si>
  <si>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</si>
  <si>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</si>
  <si>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</si>
  <si>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</si>
  <si>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</si>
  <si>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</si>
  <si>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</si>
  <si>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</si>
  <si>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</si>
  <si>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</si>
  <si>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</si>
  <si>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</si>
  <si>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</si>
  <si>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</si>
  <si>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</si>
  <si>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</si>
  <si>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</si>
  <si>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</si>
  <si>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</si>
  <si>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</si>
  <si>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</si>
  <si>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</si>
  <si>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</si>
  <si>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</si>
  <si>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</si>
  <si>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</si>
  <si>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</si>
  <si>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</si>
  <si>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</si>
  <si>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</si>
  <si>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</si>
  <si>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</si>
  <si>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</si>
  <si>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</si>
  <si>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</si>
  <si>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</si>
  <si>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</si>
  <si>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</si>
  <si>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</si>
  <si>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</si>
  <si>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</si>
  <si>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</si>
  <si>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</si>
  <si>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</si>
  <si>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</si>
  <si>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</si>
  <si>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</si>
  <si>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</si>
  <si>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</si>
  <si>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</si>
  <si>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</si>
  <si>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</si>
  <si>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</si>
  <si>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</si>
  <si>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</si>
  <si>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</si>
  <si>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</si>
  <si>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</si>
  <si>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</si>
  <si>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</si>
  <si>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</si>
  <si>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</si>
  <si>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</si>
  <si>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</si>
  <si>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</si>
  <si>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</si>
  <si>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</si>
  <si>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</si>
  <si>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</si>
  <si>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</si>
  <si>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</si>
  <si>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</si>
  <si>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</si>
  <si>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</si>
  <si>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</si>
  <si>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</si>
  <si>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</si>
  <si>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</si>
  <si>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</si>
  <si>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</si>
  <si>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</si>
  <si>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</si>
  <si>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</si>
  <si>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</si>
  <si>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</si>
  <si>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</si>
  <si>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</si>
  <si>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</si>
  <si>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</si>
  <si>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</si>
  <si>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</si>
  <si>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</si>
  <si>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</si>
  <si>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</si>
  <si>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</si>
  <si>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</si>
  <si>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</si>
  <si>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</si>
  <si>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</si>
  <si>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</si>
  <si>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</si>
  <si>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</si>
  <si>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</si>
  <si>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</si>
  <si>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</si>
  <si>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</si>
  <si>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</si>
  <si>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</si>
  <si>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</si>
  <si>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</si>
  <si>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</si>
  <si>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</si>
  <si>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</si>
  <si>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</si>
  <si>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</si>
  <si>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</si>
  <si>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</si>
  <si>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</si>
  <si>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</si>
  <si>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</si>
  <si>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</si>
  <si>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</si>
  <si>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</si>
  <si>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</si>
  <si>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</si>
  <si>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</si>
  <si>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</si>
  <si>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</si>
  <si>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</si>
  <si>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</si>
  <si>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</si>
  <si>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</si>
  <si>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</si>
  <si>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</si>
  <si>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</si>
  <si>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</si>
  <si>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</si>
  <si>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</si>
  <si>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</si>
  <si>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</si>
  <si>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</si>
  <si>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</si>
  <si>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</si>
  <si>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</si>
  <si>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</si>
  <si>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</si>
  <si>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</si>
  <si>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</si>
  <si>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</si>
  <si>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</si>
  <si>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</si>
  <si>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</si>
  <si>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</si>
  <si>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</si>
  <si>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</si>
  <si>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</si>
  <si>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</si>
  <si>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</si>
  <si>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</si>
  <si>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</si>
  <si>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</si>
  <si>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</si>
  <si>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</si>
  <si>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</si>
  <si>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</si>
  <si>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</si>
  <si>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</si>
  <si>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</si>
  <si>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</si>
  <si>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</si>
  <si>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</si>
  <si>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</si>
  <si>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</si>
  <si>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</si>
  <si>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</si>
  <si>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</si>
  <si>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</si>
  <si>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</si>
  <si>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</si>
  <si>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</si>
  <si>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</si>
  <si>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</si>
  <si>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</si>
  <si>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</si>
  <si>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</si>
  <si>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</si>
  <si>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</si>
  <si>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</si>
  <si>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</si>
  <si>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</si>
  <si>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</si>
  <si>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</si>
  <si>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</si>
  <si>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</si>
  <si>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</si>
  <si>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</si>
  <si>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بدهی به مهدی 16/5/1397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</si>
  <si>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</si>
  <si>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</si>
  <si>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</si>
  <si>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</si>
  <si>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</si>
  <si>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</si>
  <si>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</si>
  <si>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</si>
  <si>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</si>
  <si>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</si>
  <si>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</si>
  <si>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</si>
  <si>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</si>
  <si>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</si>
  <si>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</si>
  <si>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</si>
  <si>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</si>
  <si>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</si>
  <si>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</si>
  <si>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</si>
  <si>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</si>
  <si>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</si>
  <si>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</si>
  <si>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</si>
  <si>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</si>
  <si>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</si>
  <si>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بررسی خرید وغدیر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</si>
  <si>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</si>
  <si>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</si>
  <si>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</si>
  <si>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</si>
  <si>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</si>
  <si>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</si>
  <si>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</si>
  <si>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</si>
  <si>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</si>
  <si>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</si>
  <si>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</si>
  <si>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</si>
  <si>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فروش تدریجی وغدیر و خرید اخزا</t>
  </si>
  <si>
    <t>30/5/1397</t>
  </si>
  <si>
    <t>حقوق مرداد مریم</t>
  </si>
  <si>
    <t>30/5/1391</t>
  </si>
  <si>
    <t>پارس 101 تا 3680</t>
  </si>
  <si>
    <t>ضرر خرید و فروش 20000 تا پارس 16/5 و 30/5</t>
  </si>
  <si>
    <t>وغدیر</t>
  </si>
  <si>
    <t>وغدیر 417107 تا 165.14</t>
  </si>
  <si>
    <t>https://www.ifb.ir/MFI/khazaneList.aspx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</si>
</sst>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7"/>
  <sheetViews>
    <sheetView topLeftCell="A43" workbookViewId="0">
      <selection activeCell="E68" sqref="E6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3830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4042</v>
      </c>
      <c r="B3" s="18">
        <v>785000</v>
      </c>
      <c r="C3" s="18">
        <v>0</v>
      </c>
      <c r="D3" s="123">
        <f t="shared" ref="D3:D22" si="0">B3-C3</f>
        <v>785000</v>
      </c>
      <c r="E3" s="20" t="s">
        <v>1031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4042</v>
      </c>
      <c r="B4" s="18">
        <v>-32000</v>
      </c>
      <c r="C4" s="18">
        <v>0</v>
      </c>
      <c r="D4" s="119">
        <f t="shared" si="0"/>
        <v>-32000</v>
      </c>
      <c r="E4" s="105" t="s">
        <v>4013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4044</v>
      </c>
      <c r="B5" s="18">
        <v>-750000</v>
      </c>
      <c r="C5" s="18">
        <v>0</v>
      </c>
      <c r="D5" s="119">
        <f t="shared" si="0"/>
        <v>-750000</v>
      </c>
      <c r="E5" s="20" t="s">
        <v>3808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4092</v>
      </c>
      <c r="B6" s="18">
        <v>-9396</v>
      </c>
      <c r="C6" s="18">
        <v>0</v>
      </c>
      <c r="D6" s="119">
        <f t="shared" si="0"/>
        <v>-9396</v>
      </c>
      <c r="E6" s="19" t="s">
        <v>4095</v>
      </c>
      <c r="F6" s="102">
        <v>8</v>
      </c>
      <c r="G6" s="102">
        <f t="shared" si="1"/>
        <v>-75168</v>
      </c>
      <c r="H6" s="102">
        <f t="shared" si="2"/>
        <v>0</v>
      </c>
      <c r="I6" s="102">
        <f t="shared" si="3"/>
        <v>-75168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4096</v>
      </c>
      <c r="B7" s="18">
        <v>-43300</v>
      </c>
      <c r="C7" s="18">
        <v>0</v>
      </c>
      <c r="D7" s="119">
        <f t="shared" si="0"/>
        <v>-43300</v>
      </c>
      <c r="E7" s="19" t="s">
        <v>4095</v>
      </c>
      <c r="F7" s="102">
        <v>7</v>
      </c>
      <c r="G7" s="102">
        <f t="shared" si="1"/>
        <v>-303100</v>
      </c>
      <c r="H7" s="102">
        <f t="shared" si="2"/>
        <v>0</v>
      </c>
      <c r="I7" s="102">
        <f t="shared" si="3"/>
        <v>-303100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3724</v>
      </c>
      <c r="B8" s="18">
        <v>360000</v>
      </c>
      <c r="C8" s="18">
        <v>0</v>
      </c>
      <c r="D8" s="119">
        <f t="shared" si="0"/>
        <v>360000</v>
      </c>
      <c r="E8" s="19" t="s">
        <v>4110</v>
      </c>
      <c r="F8" s="102">
        <v>3</v>
      </c>
      <c r="G8" s="102">
        <f t="shared" si="1"/>
        <v>1080000</v>
      </c>
      <c r="H8" s="102">
        <f t="shared" si="2"/>
        <v>0</v>
      </c>
      <c r="I8" s="102">
        <f t="shared" si="3"/>
        <v>1080000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4115</v>
      </c>
      <c r="B9" s="18">
        <v>3000000</v>
      </c>
      <c r="C9" s="18">
        <v>0</v>
      </c>
      <c r="D9" s="119">
        <f t="shared" si="0"/>
        <v>3000000</v>
      </c>
      <c r="E9" s="21" t="s">
        <v>4114</v>
      </c>
      <c r="F9" s="102">
        <v>1</v>
      </c>
      <c r="G9" s="102">
        <f t="shared" si="1"/>
        <v>3000000</v>
      </c>
      <c r="H9" s="102">
        <f t="shared" si="2"/>
        <v>0</v>
      </c>
      <c r="I9" s="102">
        <f t="shared" si="3"/>
        <v>3000000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1245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3372301</v>
      </c>
      <c r="C24" s="119">
        <f>SUM(C2:C22)</f>
        <v>7835443</v>
      </c>
      <c r="D24" s="119">
        <f>SUM(D2:D22)</f>
        <v>-4463142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6371642</v>
      </c>
      <c r="H25" s="18">
        <f>SUM(H2:H23)</f>
        <v>235063290</v>
      </c>
      <c r="I25" s="18">
        <f>SUM(I2:I23)</f>
        <v>-228691648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22135.263406198905</v>
      </c>
      <c r="I30" s="18">
        <f>G30*I25/G25</f>
        <v>-21535.263406198905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4012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4013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4016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4017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4019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4022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4023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4025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4028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4045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4046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4047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4048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4049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4050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4051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4054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4057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32725</v>
      </c>
      <c r="E51" s="41" t="s">
        <v>4059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4067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4068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4073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4075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4076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4078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4081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4086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>
        <v>-10000</v>
      </c>
      <c r="E60" s="41" t="s">
        <v>4087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>
        <v>-15000</v>
      </c>
      <c r="E61" s="41" t="s">
        <v>4088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v>10350</v>
      </c>
      <c r="E62" s="41" t="s">
        <v>4089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>
        <v>9396</v>
      </c>
      <c r="E63" s="41" t="s">
        <v>4094</v>
      </c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v>43300</v>
      </c>
      <c r="E64" s="41" t="s">
        <v>4097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>
        <v>315101</v>
      </c>
      <c r="E65" s="41" t="s">
        <v>4100</v>
      </c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20">
        <v>-5000</v>
      </c>
      <c r="E66" s="41" t="s">
        <v>586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20">
        <v>5251465</v>
      </c>
      <c r="E67" s="41" t="s">
        <v>4117</v>
      </c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20"/>
      <c r="E68" s="4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20"/>
      <c r="E69" s="41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20" t="s">
        <v>25</v>
      </c>
      <c r="E70" s="4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20"/>
      <c r="E71" s="41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20"/>
      <c r="E72" s="41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20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20">
        <f>SUM(D30:D71)</f>
        <v>-6713822</v>
      </c>
      <c r="E74" s="102" t="s">
        <v>6</v>
      </c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20"/>
      <c r="E75" s="41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 t="s">
        <v>25</v>
      </c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  <row r="218" spans="1:21" x14ac:dyDescent="0.25">
      <c r="D218" s="102"/>
      <c r="E218" s="102"/>
    </row>
    <row r="219" spans="1:21" x14ac:dyDescent="0.25">
      <c r="D219" s="102"/>
      <c r="E219" s="102"/>
    </row>
    <row r="220" spans="1:21" x14ac:dyDescent="0.25">
      <c r="D220" s="102"/>
      <c r="E220" s="102"/>
    </row>
    <row r="221" spans="1:21" x14ac:dyDescent="0.25">
      <c r="D221" s="102"/>
      <c r="E221" s="102"/>
    </row>
    <row r="222" spans="1:21" x14ac:dyDescent="0.25">
      <c r="D222" s="102"/>
      <c r="E222" s="102"/>
    </row>
    <row r="223" spans="1:21" x14ac:dyDescent="0.25">
      <c r="D223" s="102"/>
      <c r="E223" s="102"/>
    </row>
    <row r="224" spans="1:21" x14ac:dyDescent="0.25">
      <c r="D224" s="102"/>
      <c r="E224" s="102"/>
    </row>
    <row r="225" spans="4:5" x14ac:dyDescent="0.25">
      <c r="D225" s="102"/>
      <c r="E225" s="102"/>
    </row>
    <row r="226" spans="4:5" x14ac:dyDescent="0.25">
      <c r="D226" s="102"/>
      <c r="E226" s="102"/>
    </row>
    <row r="227" spans="4:5" x14ac:dyDescent="0.25">
      <c r="D227" s="102"/>
      <c r="E22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88" activePane="bottomLeft" state="frozen"/>
      <selection pane="bottomLeft" activeCell="B180" sqref="B18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863</v>
      </c>
      <c r="H2" s="36">
        <f>IF(B2&gt;0,1,0)</f>
        <v>1</v>
      </c>
      <c r="I2" s="11">
        <f>B2*(G2-H2)</f>
        <v>14395400</v>
      </c>
      <c r="J2" s="53">
        <f>C2*(G2-H2)</f>
        <v>14395400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862</v>
      </c>
      <c r="H3" s="36">
        <f t="shared" ref="H3:H66" si="2">IF(B3&gt;0,1,0)</f>
        <v>1</v>
      </c>
      <c r="I3" s="11">
        <f t="shared" ref="I3:I66" si="3">B3*(G3-H3)</f>
        <v>17133900000</v>
      </c>
      <c r="J3" s="53">
        <f t="shared" ref="J3:J66" si="4">C3*(G3-H3)</f>
        <v>9804207000</v>
      </c>
      <c r="K3" s="53">
        <f t="shared" ref="K3:K66" si="5">D3*(G3-H3)</f>
        <v>7329693000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862</v>
      </c>
      <c r="H4" s="36">
        <f t="shared" si="2"/>
        <v>0</v>
      </c>
      <c r="I4" s="11">
        <f t="shared" si="3"/>
        <v>0</v>
      </c>
      <c r="J4" s="53">
        <f t="shared" si="4"/>
        <v>7327000</v>
      </c>
      <c r="K4" s="53">
        <f t="shared" si="5"/>
        <v>-7327000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860</v>
      </c>
      <c r="H5" s="36">
        <f t="shared" si="2"/>
        <v>1</v>
      </c>
      <c r="I5" s="11">
        <f t="shared" si="3"/>
        <v>1718000000</v>
      </c>
      <c r="J5" s="53">
        <f t="shared" si="4"/>
        <v>0</v>
      </c>
      <c r="K5" s="53">
        <f t="shared" si="5"/>
        <v>1718000000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853</v>
      </c>
      <c r="H6" s="36">
        <f t="shared" si="2"/>
        <v>0</v>
      </c>
      <c r="I6" s="11">
        <f t="shared" si="3"/>
        <v>-4265000</v>
      </c>
      <c r="J6" s="53">
        <f t="shared" si="4"/>
        <v>0</v>
      </c>
      <c r="K6" s="53">
        <f t="shared" si="5"/>
        <v>-4265000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849</v>
      </c>
      <c r="H7" s="36">
        <f t="shared" si="2"/>
        <v>0</v>
      </c>
      <c r="I7" s="11">
        <f t="shared" si="3"/>
        <v>-1019224500</v>
      </c>
      <c r="J7" s="53">
        <f t="shared" si="4"/>
        <v>0</v>
      </c>
      <c r="K7" s="53">
        <f t="shared" si="5"/>
        <v>-1019224500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848</v>
      </c>
      <c r="H8" s="36">
        <f t="shared" si="2"/>
        <v>0</v>
      </c>
      <c r="I8" s="11">
        <f t="shared" si="3"/>
        <v>-169600000</v>
      </c>
      <c r="J8" s="53">
        <f t="shared" si="4"/>
        <v>0</v>
      </c>
      <c r="K8" s="53">
        <f t="shared" si="5"/>
        <v>-169600000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846</v>
      </c>
      <c r="H9" s="36">
        <f t="shared" si="2"/>
        <v>0</v>
      </c>
      <c r="I9" s="11">
        <f t="shared" si="3"/>
        <v>-596853000</v>
      </c>
      <c r="J9" s="53">
        <f t="shared" si="4"/>
        <v>0</v>
      </c>
      <c r="K9" s="53">
        <f t="shared" si="5"/>
        <v>-596853000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837</v>
      </c>
      <c r="H10" s="36">
        <f t="shared" si="2"/>
        <v>0</v>
      </c>
      <c r="I10" s="11">
        <f t="shared" si="3"/>
        <v>-167400000</v>
      </c>
      <c r="J10" s="53">
        <f t="shared" si="4"/>
        <v>0</v>
      </c>
      <c r="K10" s="53">
        <f t="shared" si="5"/>
        <v>-167400000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837</v>
      </c>
      <c r="H11" s="36">
        <f t="shared" si="2"/>
        <v>1</v>
      </c>
      <c r="I11" s="11">
        <f t="shared" si="3"/>
        <v>836000000</v>
      </c>
      <c r="J11" s="53">
        <f t="shared" si="4"/>
        <v>0</v>
      </c>
      <c r="K11" s="53">
        <f t="shared" si="5"/>
        <v>836000000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833</v>
      </c>
      <c r="H12" s="36">
        <f t="shared" si="2"/>
        <v>0</v>
      </c>
      <c r="I12" s="11">
        <f t="shared" si="3"/>
        <v>-249900000</v>
      </c>
      <c r="J12" s="53">
        <f t="shared" si="4"/>
        <v>0</v>
      </c>
      <c r="K12" s="53">
        <f t="shared" si="5"/>
        <v>-249900000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828</v>
      </c>
      <c r="H13" s="36">
        <f t="shared" si="2"/>
        <v>0</v>
      </c>
      <c r="I13" s="11">
        <f t="shared" si="3"/>
        <v>-51336000</v>
      </c>
      <c r="J13" s="53">
        <f t="shared" si="4"/>
        <v>0</v>
      </c>
      <c r="K13" s="53">
        <f t="shared" si="5"/>
        <v>-51336000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828</v>
      </c>
      <c r="H14" s="36">
        <f t="shared" si="2"/>
        <v>1</v>
      </c>
      <c r="I14" s="11">
        <f t="shared" si="3"/>
        <v>1654000000</v>
      </c>
      <c r="J14" s="53">
        <f t="shared" si="4"/>
        <v>0</v>
      </c>
      <c r="K14" s="53">
        <f t="shared" si="5"/>
        <v>1654000000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827</v>
      </c>
      <c r="H15" s="36">
        <f t="shared" si="2"/>
        <v>1</v>
      </c>
      <c r="I15" s="11">
        <f t="shared" si="3"/>
        <v>1486800000</v>
      </c>
      <c r="J15" s="53">
        <f t="shared" si="4"/>
        <v>0</v>
      </c>
      <c r="K15" s="53">
        <f t="shared" si="5"/>
        <v>1486800000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827</v>
      </c>
      <c r="H16" s="36">
        <f t="shared" si="2"/>
        <v>0</v>
      </c>
      <c r="I16" s="11">
        <f t="shared" si="3"/>
        <v>-165400000</v>
      </c>
      <c r="J16" s="53">
        <f t="shared" si="4"/>
        <v>0</v>
      </c>
      <c r="K16" s="53">
        <f t="shared" si="5"/>
        <v>-165400000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823</v>
      </c>
      <c r="H17" s="36">
        <f t="shared" si="2"/>
        <v>0</v>
      </c>
      <c r="I17" s="11">
        <f t="shared" si="3"/>
        <v>-1646000000</v>
      </c>
      <c r="J17" s="53">
        <f t="shared" si="4"/>
        <v>0</v>
      </c>
      <c r="K17" s="53">
        <f t="shared" si="5"/>
        <v>-1646000000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822</v>
      </c>
      <c r="H18" s="36">
        <f t="shared" si="2"/>
        <v>0</v>
      </c>
      <c r="I18" s="11">
        <f t="shared" si="3"/>
        <v>-246600000</v>
      </c>
      <c r="J18" s="53">
        <f t="shared" si="4"/>
        <v>0</v>
      </c>
      <c r="K18" s="53">
        <f t="shared" si="5"/>
        <v>-246600000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821</v>
      </c>
      <c r="H19" s="36">
        <f t="shared" si="2"/>
        <v>0</v>
      </c>
      <c r="I19" s="11">
        <f t="shared" si="3"/>
        <v>-164200000</v>
      </c>
      <c r="J19" s="53">
        <f t="shared" si="4"/>
        <v>0</v>
      </c>
      <c r="K19" s="53">
        <f t="shared" si="5"/>
        <v>-164200000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819</v>
      </c>
      <c r="H20" s="36">
        <f t="shared" si="2"/>
        <v>1</v>
      </c>
      <c r="I20" s="11">
        <f t="shared" si="3"/>
        <v>221750802</v>
      </c>
      <c r="J20" s="53">
        <f t="shared" si="4"/>
        <v>120615736</v>
      </c>
      <c r="K20" s="53">
        <f t="shared" si="5"/>
        <v>101135066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817</v>
      </c>
      <c r="H21" s="36">
        <f t="shared" si="2"/>
        <v>0</v>
      </c>
      <c r="I21" s="11">
        <f t="shared" si="3"/>
        <v>-1230156900</v>
      </c>
      <c r="J21" s="53">
        <f t="shared" si="4"/>
        <v>0</v>
      </c>
      <c r="K21" s="53">
        <f t="shared" si="5"/>
        <v>-1230156900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814</v>
      </c>
      <c r="H22" s="36">
        <f t="shared" si="2"/>
        <v>1</v>
      </c>
      <c r="I22" s="11">
        <f t="shared" si="3"/>
        <v>2439000000</v>
      </c>
      <c r="J22" s="53">
        <f t="shared" si="4"/>
        <v>0</v>
      </c>
      <c r="K22" s="53">
        <f t="shared" si="5"/>
        <v>2439000000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813</v>
      </c>
      <c r="H23" s="36">
        <f t="shared" si="2"/>
        <v>1</v>
      </c>
      <c r="I23" s="11">
        <f t="shared" si="3"/>
        <v>812000000</v>
      </c>
      <c r="J23" s="53">
        <f t="shared" si="4"/>
        <v>0</v>
      </c>
      <c r="K23" s="53">
        <f t="shared" si="5"/>
        <v>812000000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812</v>
      </c>
      <c r="H24" s="36">
        <f t="shared" si="2"/>
        <v>0</v>
      </c>
      <c r="I24" s="11">
        <f t="shared" si="3"/>
        <v>-2436730800</v>
      </c>
      <c r="J24" s="53">
        <f t="shared" si="4"/>
        <v>0</v>
      </c>
      <c r="K24" s="53">
        <f t="shared" si="5"/>
        <v>-2436730800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797</v>
      </c>
      <c r="H25" s="36">
        <f t="shared" si="2"/>
        <v>1</v>
      </c>
      <c r="I25" s="11">
        <f t="shared" si="3"/>
        <v>1194000000</v>
      </c>
      <c r="J25" s="53">
        <f t="shared" si="4"/>
        <v>0</v>
      </c>
      <c r="K25" s="53">
        <f t="shared" si="5"/>
        <v>1194000000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789</v>
      </c>
      <c r="H26" s="36">
        <f t="shared" si="2"/>
        <v>0</v>
      </c>
      <c r="I26" s="11">
        <f t="shared" si="3"/>
        <v>-129396000</v>
      </c>
      <c r="J26" s="53">
        <f t="shared" si="4"/>
        <v>0</v>
      </c>
      <c r="K26" s="53">
        <f t="shared" si="5"/>
        <v>-129396000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788</v>
      </c>
      <c r="H27" s="36">
        <f t="shared" si="2"/>
        <v>1</v>
      </c>
      <c r="I27" s="11">
        <f t="shared" si="3"/>
        <v>156922291</v>
      </c>
      <c r="J27" s="53">
        <f t="shared" si="4"/>
        <v>84534031</v>
      </c>
      <c r="K27" s="53">
        <f t="shared" si="5"/>
        <v>72388260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786</v>
      </c>
      <c r="H28" s="36">
        <f t="shared" si="2"/>
        <v>0</v>
      </c>
      <c r="I28" s="11">
        <f t="shared" si="3"/>
        <v>-173706000</v>
      </c>
      <c r="J28" s="53">
        <f t="shared" si="4"/>
        <v>-173706000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786</v>
      </c>
      <c r="H29" s="36">
        <f t="shared" si="2"/>
        <v>0</v>
      </c>
      <c r="I29" s="11">
        <f t="shared" si="3"/>
        <v>-393393000</v>
      </c>
      <c r="J29" s="53">
        <f t="shared" si="4"/>
        <v>0</v>
      </c>
      <c r="K29" s="53">
        <f t="shared" si="5"/>
        <v>-393393000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786</v>
      </c>
      <c r="H30" s="36">
        <f t="shared" si="2"/>
        <v>0</v>
      </c>
      <c r="I30" s="11">
        <f t="shared" si="3"/>
        <v>-11790000000</v>
      </c>
      <c r="J30" s="53">
        <f t="shared" si="4"/>
        <v>-11790000000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769</v>
      </c>
      <c r="H31" s="36">
        <f t="shared" si="2"/>
        <v>0</v>
      </c>
      <c r="I31" s="11">
        <f t="shared" si="3"/>
        <v>-2315382100</v>
      </c>
      <c r="J31" s="53">
        <f t="shared" si="4"/>
        <v>0</v>
      </c>
      <c r="K31" s="53">
        <f t="shared" si="5"/>
        <v>-2315382100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767</v>
      </c>
      <c r="H32" s="36">
        <f t="shared" si="2"/>
        <v>0</v>
      </c>
      <c r="I32" s="11">
        <f t="shared" si="3"/>
        <v>-2305525300</v>
      </c>
      <c r="J32" s="53">
        <f t="shared" si="4"/>
        <v>0</v>
      </c>
      <c r="K32" s="53">
        <f t="shared" si="5"/>
        <v>-2305525300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766</v>
      </c>
      <c r="H33" s="36">
        <f t="shared" si="2"/>
        <v>0</v>
      </c>
      <c r="I33" s="11">
        <f t="shared" si="3"/>
        <v>-685953000</v>
      </c>
      <c r="J33" s="53">
        <f t="shared" si="4"/>
        <v>0</v>
      </c>
      <c r="K33" s="53">
        <f t="shared" si="5"/>
        <v>-685953000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766</v>
      </c>
      <c r="H34" s="36">
        <f t="shared" si="2"/>
        <v>0</v>
      </c>
      <c r="I34" s="11">
        <f t="shared" si="3"/>
        <v>0</v>
      </c>
      <c r="J34" s="53">
        <f t="shared" si="4"/>
        <v>766000000</v>
      </c>
      <c r="K34" s="53">
        <f t="shared" si="5"/>
        <v>-766000000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757</v>
      </c>
      <c r="H35" s="36">
        <f t="shared" si="2"/>
        <v>1</v>
      </c>
      <c r="I35" s="11">
        <f t="shared" si="3"/>
        <v>39668832</v>
      </c>
      <c r="J35" s="53">
        <f t="shared" si="4"/>
        <v>-16377228</v>
      </c>
      <c r="K35" s="53">
        <f t="shared" si="5"/>
        <v>56046060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757</v>
      </c>
      <c r="H36" s="36">
        <f t="shared" si="2"/>
        <v>0</v>
      </c>
      <c r="I36" s="11">
        <f t="shared" si="3"/>
        <v>0</v>
      </c>
      <c r="J36" s="53">
        <f t="shared" si="4"/>
        <v>16398891</v>
      </c>
      <c r="K36" s="53">
        <f t="shared" si="5"/>
        <v>-16398891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747</v>
      </c>
      <c r="H37" s="36">
        <f t="shared" si="2"/>
        <v>0</v>
      </c>
      <c r="I37" s="11">
        <f t="shared" si="3"/>
        <v>-41085000</v>
      </c>
      <c r="J37" s="53">
        <f t="shared" si="4"/>
        <v>0</v>
      </c>
      <c r="K37" s="53">
        <f t="shared" si="5"/>
        <v>-41085000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746</v>
      </c>
      <c r="H38" s="36">
        <f t="shared" si="2"/>
        <v>1</v>
      </c>
      <c r="I38" s="11">
        <f t="shared" si="3"/>
        <v>2235000000</v>
      </c>
      <c r="J38" s="53">
        <f t="shared" si="4"/>
        <v>2235000000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745</v>
      </c>
      <c r="H39" s="36">
        <f t="shared" si="2"/>
        <v>1</v>
      </c>
      <c r="I39" s="11">
        <f t="shared" si="3"/>
        <v>1860000000</v>
      </c>
      <c r="J39" s="53">
        <f t="shared" si="4"/>
        <v>1860000000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745</v>
      </c>
      <c r="H40" s="36">
        <f t="shared" si="2"/>
        <v>0</v>
      </c>
      <c r="I40" s="11">
        <f t="shared" si="3"/>
        <v>-37250000</v>
      </c>
      <c r="J40" s="53">
        <f t="shared" si="4"/>
        <v>0</v>
      </c>
      <c r="K40" s="53">
        <f t="shared" si="5"/>
        <v>-37250000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745</v>
      </c>
      <c r="H41" s="36">
        <f t="shared" si="2"/>
        <v>1</v>
      </c>
      <c r="I41" s="11">
        <f t="shared" si="3"/>
        <v>2232000000</v>
      </c>
      <c r="J41" s="53">
        <f t="shared" si="4"/>
        <v>0</v>
      </c>
      <c r="K41" s="53">
        <f t="shared" si="5"/>
        <v>2232000000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742</v>
      </c>
      <c r="H42" s="36">
        <f t="shared" si="2"/>
        <v>0</v>
      </c>
      <c r="I42" s="11">
        <f t="shared" si="3"/>
        <v>-66186400</v>
      </c>
      <c r="J42" s="53">
        <f t="shared" si="4"/>
        <v>0</v>
      </c>
      <c r="K42" s="53">
        <f t="shared" si="5"/>
        <v>-66186400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738</v>
      </c>
      <c r="H43" s="36">
        <f t="shared" si="2"/>
        <v>0</v>
      </c>
      <c r="I43" s="11">
        <f t="shared" si="3"/>
        <v>-147600000</v>
      </c>
      <c r="J43" s="53">
        <f t="shared" si="4"/>
        <v>0</v>
      </c>
      <c r="K43" s="53">
        <f t="shared" si="5"/>
        <v>-147600000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736</v>
      </c>
      <c r="H44" s="36">
        <f t="shared" si="2"/>
        <v>0</v>
      </c>
      <c r="I44" s="11">
        <f t="shared" si="3"/>
        <v>-147200000</v>
      </c>
      <c r="J44" s="53">
        <f t="shared" si="4"/>
        <v>0</v>
      </c>
      <c r="K44" s="53">
        <f t="shared" si="5"/>
        <v>-147200000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736</v>
      </c>
      <c r="H45" s="36">
        <f t="shared" si="2"/>
        <v>0</v>
      </c>
      <c r="I45" s="11">
        <f t="shared" si="3"/>
        <v>-412160000</v>
      </c>
      <c r="J45" s="53">
        <f t="shared" si="4"/>
        <v>0</v>
      </c>
      <c r="K45" s="53">
        <f t="shared" si="5"/>
        <v>-412160000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732</v>
      </c>
      <c r="H46" s="36">
        <f t="shared" si="2"/>
        <v>0</v>
      </c>
      <c r="I46" s="11">
        <f t="shared" si="3"/>
        <v>-516426000</v>
      </c>
      <c r="J46" s="53">
        <f t="shared" si="4"/>
        <v>0</v>
      </c>
      <c r="K46" s="53">
        <f t="shared" si="5"/>
        <v>-516426000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726</v>
      </c>
      <c r="H47" s="36">
        <f t="shared" si="2"/>
        <v>1</v>
      </c>
      <c r="I47" s="11">
        <f t="shared" si="3"/>
        <v>29872900</v>
      </c>
      <c r="J47" s="53">
        <f t="shared" si="4"/>
        <v>4866925</v>
      </c>
      <c r="K47" s="53">
        <f t="shared" si="5"/>
        <v>25005975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726</v>
      </c>
      <c r="H48" s="36">
        <f t="shared" si="2"/>
        <v>1</v>
      </c>
      <c r="I48" s="11">
        <f t="shared" si="3"/>
        <v>1235907500</v>
      </c>
      <c r="J48" s="53">
        <f t="shared" si="4"/>
        <v>0</v>
      </c>
      <c r="K48" s="53">
        <f t="shared" si="5"/>
        <v>1235907500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717</v>
      </c>
      <c r="H49" s="36">
        <f t="shared" si="2"/>
        <v>0</v>
      </c>
      <c r="I49" s="11">
        <f t="shared" si="3"/>
        <v>-111135000</v>
      </c>
      <c r="J49" s="53">
        <f t="shared" si="4"/>
        <v>0</v>
      </c>
      <c r="K49" s="53">
        <f t="shared" si="5"/>
        <v>-111135000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717</v>
      </c>
      <c r="H50" s="36">
        <f t="shared" si="2"/>
        <v>0</v>
      </c>
      <c r="I50" s="11">
        <f t="shared" si="3"/>
        <v>-98946000</v>
      </c>
      <c r="J50" s="53">
        <f t="shared" si="4"/>
        <v>0</v>
      </c>
      <c r="K50" s="53">
        <f t="shared" si="5"/>
        <v>-98946000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717</v>
      </c>
      <c r="H51" s="36">
        <f t="shared" si="2"/>
        <v>0</v>
      </c>
      <c r="I51" s="11">
        <f t="shared" si="3"/>
        <v>-530580000</v>
      </c>
      <c r="J51" s="53">
        <f t="shared" si="4"/>
        <v>0</v>
      </c>
      <c r="K51" s="53">
        <f t="shared" si="5"/>
        <v>-530580000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717</v>
      </c>
      <c r="H52" s="36">
        <f t="shared" si="2"/>
        <v>0</v>
      </c>
      <c r="I52" s="11">
        <f t="shared" si="3"/>
        <v>-143400000</v>
      </c>
      <c r="J52" s="53">
        <f t="shared" si="4"/>
        <v>0</v>
      </c>
      <c r="K52" s="53">
        <f t="shared" si="5"/>
        <v>-143400000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716</v>
      </c>
      <c r="H53" s="36">
        <f t="shared" si="2"/>
        <v>0</v>
      </c>
      <c r="I53" s="11">
        <f t="shared" si="3"/>
        <v>-755380000</v>
      </c>
      <c r="J53" s="53">
        <f t="shared" si="4"/>
        <v>0</v>
      </c>
      <c r="K53" s="53">
        <f t="shared" si="5"/>
        <v>-755380000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716</v>
      </c>
      <c r="H54" s="36">
        <f t="shared" si="2"/>
        <v>0</v>
      </c>
      <c r="I54" s="11">
        <f t="shared" si="3"/>
        <v>-143200000</v>
      </c>
      <c r="J54" s="53">
        <f t="shared" si="4"/>
        <v>0</v>
      </c>
      <c r="K54" s="53">
        <f t="shared" si="5"/>
        <v>-143200000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716</v>
      </c>
      <c r="H55" s="36">
        <f t="shared" si="2"/>
        <v>0</v>
      </c>
      <c r="I55" s="11">
        <f t="shared" si="3"/>
        <v>-716358000</v>
      </c>
      <c r="J55" s="53">
        <f t="shared" si="4"/>
        <v>0</v>
      </c>
      <c r="K55" s="53">
        <f t="shared" si="5"/>
        <v>-716358000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716</v>
      </c>
      <c r="H56" s="36">
        <f t="shared" si="2"/>
        <v>0</v>
      </c>
      <c r="I56" s="11">
        <f t="shared" si="3"/>
        <v>-27208000</v>
      </c>
      <c r="J56" s="53">
        <f t="shared" si="4"/>
        <v>0</v>
      </c>
      <c r="K56" s="53">
        <f t="shared" si="5"/>
        <v>-27208000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716</v>
      </c>
      <c r="H57" s="36">
        <f t="shared" si="2"/>
        <v>0</v>
      </c>
      <c r="I57" s="11">
        <f t="shared" si="3"/>
        <v>-75180000</v>
      </c>
      <c r="J57" s="53">
        <f t="shared" si="4"/>
        <v>0</v>
      </c>
      <c r="K57" s="53">
        <f t="shared" si="5"/>
        <v>-75180000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716</v>
      </c>
      <c r="H58" s="36">
        <f t="shared" si="2"/>
        <v>0</v>
      </c>
      <c r="I58" s="11">
        <f t="shared" si="3"/>
        <v>-42960000</v>
      </c>
      <c r="J58" s="53">
        <f t="shared" si="4"/>
        <v>0</v>
      </c>
      <c r="K58" s="53">
        <f t="shared" si="5"/>
        <v>-42960000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713</v>
      </c>
      <c r="H59" s="36">
        <f t="shared" si="2"/>
        <v>1</v>
      </c>
      <c r="I59" s="11">
        <f t="shared" si="3"/>
        <v>712000000</v>
      </c>
      <c r="J59" s="53">
        <f t="shared" si="4"/>
        <v>712000000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712</v>
      </c>
      <c r="H60" s="36">
        <f t="shared" si="2"/>
        <v>1</v>
      </c>
      <c r="I60" s="11">
        <f t="shared" si="3"/>
        <v>2488500000</v>
      </c>
      <c r="J60" s="53">
        <f t="shared" si="4"/>
        <v>2488500000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710</v>
      </c>
      <c r="H61" s="36">
        <f t="shared" si="2"/>
        <v>1</v>
      </c>
      <c r="I61" s="11">
        <f t="shared" si="3"/>
        <v>709000000</v>
      </c>
      <c r="J61" s="53">
        <f t="shared" si="4"/>
        <v>709000000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710</v>
      </c>
      <c r="H62" s="36">
        <f t="shared" si="2"/>
        <v>1</v>
      </c>
      <c r="I62" s="11">
        <f t="shared" si="3"/>
        <v>2127000000</v>
      </c>
      <c r="J62" s="53">
        <f t="shared" si="4"/>
        <v>2127000000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708</v>
      </c>
      <c r="H63" s="36">
        <f t="shared" si="2"/>
        <v>0</v>
      </c>
      <c r="I63" s="11">
        <f t="shared" si="3"/>
        <v>-141600000</v>
      </c>
      <c r="J63" s="53">
        <f t="shared" si="4"/>
        <v>0</v>
      </c>
      <c r="K63" s="53">
        <f t="shared" si="5"/>
        <v>-141600000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703</v>
      </c>
      <c r="H64" s="36">
        <f t="shared" si="2"/>
        <v>0</v>
      </c>
      <c r="I64" s="11">
        <f t="shared" si="3"/>
        <v>-35150000</v>
      </c>
      <c r="J64" s="53">
        <f t="shared" si="4"/>
        <v>0</v>
      </c>
      <c r="K64" s="53">
        <f t="shared" si="5"/>
        <v>-35150000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699</v>
      </c>
      <c r="H65" s="36">
        <f t="shared" si="2"/>
        <v>0</v>
      </c>
      <c r="I65" s="11">
        <f t="shared" si="3"/>
        <v>-139800000</v>
      </c>
      <c r="J65" s="53">
        <f t="shared" si="4"/>
        <v>0</v>
      </c>
      <c r="K65" s="53">
        <f t="shared" si="5"/>
        <v>-139800000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696</v>
      </c>
      <c r="H66" s="36">
        <f t="shared" si="2"/>
        <v>0</v>
      </c>
      <c r="I66" s="11">
        <f t="shared" si="3"/>
        <v>-118320000</v>
      </c>
      <c r="J66" s="53">
        <f t="shared" si="4"/>
        <v>0</v>
      </c>
      <c r="K66" s="53">
        <f t="shared" si="5"/>
        <v>-118320000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695</v>
      </c>
      <c r="H67" s="36">
        <f t="shared" ref="H67:H131" si="8">IF(B67&gt;0,1,0)</f>
        <v>1</v>
      </c>
      <c r="I67" s="11">
        <f t="shared" ref="I67:I119" si="9">B67*(G67-H67)</f>
        <v>63379550</v>
      </c>
      <c r="J67" s="53">
        <f t="shared" ref="J67:J131" si="10">C67*(G67-H67)</f>
        <v>45611762</v>
      </c>
      <c r="K67" s="53">
        <f t="shared" ref="K67:K131" si="11">D67*(G67-H67)</f>
        <v>17767788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677</v>
      </c>
      <c r="H68" s="36">
        <f t="shared" si="8"/>
        <v>0</v>
      </c>
      <c r="I68" s="11">
        <f t="shared" si="9"/>
        <v>-98165000</v>
      </c>
      <c r="J68" s="53">
        <f t="shared" si="10"/>
        <v>0</v>
      </c>
      <c r="K68" s="53">
        <f t="shared" si="11"/>
        <v>-98165000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670</v>
      </c>
      <c r="H69" s="36">
        <f t="shared" si="8"/>
        <v>1</v>
      </c>
      <c r="I69" s="11">
        <f t="shared" si="9"/>
        <v>655620000</v>
      </c>
      <c r="J69" s="53">
        <f t="shared" si="10"/>
        <v>0</v>
      </c>
      <c r="K69" s="53">
        <f t="shared" si="11"/>
        <v>655620000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667</v>
      </c>
      <c r="H70" s="36">
        <f t="shared" si="8"/>
        <v>0</v>
      </c>
      <c r="I70" s="11">
        <f t="shared" si="9"/>
        <v>-30682000</v>
      </c>
      <c r="J70" s="53">
        <f t="shared" si="10"/>
        <v>0</v>
      </c>
      <c r="K70" s="53">
        <f t="shared" si="11"/>
        <v>-30682000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665</v>
      </c>
      <c r="H71" s="36">
        <f t="shared" si="8"/>
        <v>1</v>
      </c>
      <c r="I71" s="11">
        <f t="shared" si="9"/>
        <v>76584432</v>
      </c>
      <c r="J71" s="53">
        <f t="shared" si="10"/>
        <v>68931168</v>
      </c>
      <c r="K71" s="53">
        <f t="shared" si="11"/>
        <v>7653264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664</v>
      </c>
      <c r="H72" s="36">
        <f t="shared" si="8"/>
        <v>0</v>
      </c>
      <c r="I72" s="11">
        <f t="shared" si="9"/>
        <v>-100907416</v>
      </c>
      <c r="J72" s="53">
        <f t="shared" si="10"/>
        <v>0</v>
      </c>
      <c r="K72" s="53">
        <f t="shared" si="11"/>
        <v>-100907416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663</v>
      </c>
      <c r="H73" s="36">
        <f t="shared" si="8"/>
        <v>0</v>
      </c>
      <c r="I73" s="11">
        <f t="shared" si="9"/>
        <v>-534046500</v>
      </c>
      <c r="J73" s="53">
        <f t="shared" si="10"/>
        <v>0</v>
      </c>
      <c r="K73" s="53">
        <f t="shared" si="11"/>
        <v>-534046500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656</v>
      </c>
      <c r="H74" s="36">
        <f t="shared" si="8"/>
        <v>1</v>
      </c>
      <c r="I74" s="11">
        <f t="shared" si="9"/>
        <v>4581725000</v>
      </c>
      <c r="J74" s="53">
        <f t="shared" si="10"/>
        <v>0</v>
      </c>
      <c r="K74" s="53">
        <f t="shared" si="11"/>
        <v>4581725000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655</v>
      </c>
      <c r="H75" s="36">
        <f t="shared" si="8"/>
        <v>1</v>
      </c>
      <c r="I75" s="11">
        <f t="shared" si="9"/>
        <v>1962000000</v>
      </c>
      <c r="J75" s="53">
        <f t="shared" si="10"/>
        <v>0</v>
      </c>
      <c r="K75" s="53">
        <f t="shared" si="11"/>
        <v>1962000000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653</v>
      </c>
      <c r="H76" s="36">
        <f t="shared" si="8"/>
        <v>1</v>
      </c>
      <c r="I76" s="11">
        <f t="shared" si="9"/>
        <v>1956000000</v>
      </c>
      <c r="J76" s="53">
        <f t="shared" si="10"/>
        <v>0</v>
      </c>
      <c r="K76" s="53">
        <f t="shared" si="11"/>
        <v>1956000000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652</v>
      </c>
      <c r="H77" s="36">
        <f t="shared" si="8"/>
        <v>1</v>
      </c>
      <c r="I77" s="11">
        <f t="shared" si="9"/>
        <v>1953000000</v>
      </c>
      <c r="J77" s="53">
        <f t="shared" si="10"/>
        <v>0</v>
      </c>
      <c r="K77" s="53">
        <f t="shared" si="11"/>
        <v>1953000000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651</v>
      </c>
      <c r="H78" s="36">
        <f t="shared" si="8"/>
        <v>0</v>
      </c>
      <c r="I78" s="11">
        <f t="shared" si="9"/>
        <v>-2083200000</v>
      </c>
      <c r="J78" s="53">
        <f t="shared" si="10"/>
        <v>-2083200000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650</v>
      </c>
      <c r="H79" s="36">
        <f t="shared" si="8"/>
        <v>0</v>
      </c>
      <c r="I79" s="11">
        <f t="shared" si="9"/>
        <v>-520000000</v>
      </c>
      <c r="J79" s="53">
        <f t="shared" si="10"/>
        <v>-520000000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649</v>
      </c>
      <c r="H80" s="36">
        <f t="shared" si="8"/>
        <v>0</v>
      </c>
      <c r="I80" s="11">
        <f t="shared" si="9"/>
        <v>-31407057</v>
      </c>
      <c r="J80" s="53">
        <f t="shared" si="10"/>
        <v>0</v>
      </c>
      <c r="K80" s="53">
        <f t="shared" si="11"/>
        <v>-31407057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648</v>
      </c>
      <c r="H81" s="36">
        <f t="shared" si="8"/>
        <v>0</v>
      </c>
      <c r="I81" s="11">
        <f t="shared" si="9"/>
        <v>-90720000</v>
      </c>
      <c r="J81" s="53">
        <f t="shared" si="10"/>
        <v>0</v>
      </c>
      <c r="K81" s="53">
        <f t="shared" si="11"/>
        <v>-90720000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647</v>
      </c>
      <c r="H82" s="36">
        <f t="shared" si="8"/>
        <v>0</v>
      </c>
      <c r="I82" s="11">
        <f t="shared" si="9"/>
        <v>-161750000</v>
      </c>
      <c r="J82" s="53">
        <f t="shared" si="10"/>
        <v>0</v>
      </c>
      <c r="K82" s="53">
        <f t="shared" si="11"/>
        <v>-161750000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646</v>
      </c>
      <c r="H83" s="36">
        <f t="shared" si="8"/>
        <v>0</v>
      </c>
      <c r="I83" s="11">
        <f t="shared" si="9"/>
        <v>-129200000</v>
      </c>
      <c r="J83" s="53">
        <f t="shared" si="10"/>
        <v>0</v>
      </c>
      <c r="K83" s="53">
        <f t="shared" si="11"/>
        <v>-129200000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643</v>
      </c>
      <c r="H84" s="36">
        <f t="shared" si="8"/>
        <v>1</v>
      </c>
      <c r="I84" s="11">
        <f t="shared" si="9"/>
        <v>1049798400</v>
      </c>
      <c r="J84" s="53">
        <f t="shared" si="10"/>
        <v>0</v>
      </c>
      <c r="K84" s="53">
        <f t="shared" si="11"/>
        <v>1049798400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639</v>
      </c>
      <c r="H85" s="36">
        <f t="shared" si="8"/>
        <v>1</v>
      </c>
      <c r="I85" s="11">
        <f t="shared" si="9"/>
        <v>1595000000</v>
      </c>
      <c r="J85" s="53">
        <f t="shared" si="10"/>
        <v>0</v>
      </c>
      <c r="K85" s="53">
        <f t="shared" si="11"/>
        <v>1595000000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635</v>
      </c>
      <c r="H86" s="36">
        <f t="shared" si="8"/>
        <v>1</v>
      </c>
      <c r="I86" s="11">
        <f t="shared" si="9"/>
        <v>118114200</v>
      </c>
      <c r="J86" s="53">
        <f t="shared" si="10"/>
        <v>53858300</v>
      </c>
      <c r="K86" s="53">
        <f t="shared" si="11"/>
        <v>64255900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632</v>
      </c>
      <c r="H87" s="36">
        <f t="shared" si="8"/>
        <v>0</v>
      </c>
      <c r="I87" s="11">
        <f t="shared" si="9"/>
        <v>-126400000</v>
      </c>
      <c r="J87" s="53">
        <f t="shared" si="10"/>
        <v>0</v>
      </c>
      <c r="K87" s="53">
        <f t="shared" si="11"/>
        <v>-126400000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631</v>
      </c>
      <c r="H88" s="36">
        <f t="shared" si="8"/>
        <v>0</v>
      </c>
      <c r="I88" s="11">
        <f t="shared" si="9"/>
        <v>-74458000</v>
      </c>
      <c r="J88" s="53">
        <f t="shared" si="10"/>
        <v>-43539000</v>
      </c>
      <c r="K88" s="53">
        <f t="shared" si="11"/>
        <v>-30919000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623</v>
      </c>
      <c r="H89" s="36">
        <f t="shared" si="8"/>
        <v>0</v>
      </c>
      <c r="I89" s="11">
        <f t="shared" si="9"/>
        <v>-1994160700</v>
      </c>
      <c r="J89" s="53">
        <f t="shared" si="10"/>
        <v>0</v>
      </c>
      <c r="K89" s="53">
        <f t="shared" si="11"/>
        <v>-1994160700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622</v>
      </c>
      <c r="H90" s="36">
        <f t="shared" si="8"/>
        <v>0</v>
      </c>
      <c r="I90" s="11">
        <f t="shared" si="9"/>
        <v>-1990959800</v>
      </c>
      <c r="J90" s="53">
        <f t="shared" si="10"/>
        <v>0</v>
      </c>
      <c r="K90" s="53">
        <f t="shared" si="11"/>
        <v>-1990959800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621</v>
      </c>
      <c r="H91" s="36">
        <f t="shared" si="8"/>
        <v>0</v>
      </c>
      <c r="I91" s="11">
        <f t="shared" si="9"/>
        <v>-1987758900</v>
      </c>
      <c r="J91" s="53">
        <f t="shared" si="10"/>
        <v>0</v>
      </c>
      <c r="K91" s="53">
        <f t="shared" si="11"/>
        <v>-1987758900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620</v>
      </c>
      <c r="H92" s="36">
        <f t="shared" si="8"/>
        <v>0</v>
      </c>
      <c r="I92" s="11">
        <f t="shared" si="9"/>
        <v>-1984558000</v>
      </c>
      <c r="J92" s="53">
        <f t="shared" si="10"/>
        <v>0</v>
      </c>
      <c r="K92" s="53">
        <f t="shared" si="11"/>
        <v>-1984558000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619</v>
      </c>
      <c r="H93" s="36">
        <f t="shared" si="8"/>
        <v>0</v>
      </c>
      <c r="I93" s="11">
        <f t="shared" si="9"/>
        <v>-1981357100</v>
      </c>
      <c r="J93" s="53">
        <f t="shared" si="10"/>
        <v>0</v>
      </c>
      <c r="K93" s="53">
        <f t="shared" si="11"/>
        <v>-1981357100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618</v>
      </c>
      <c r="H94" s="36">
        <f t="shared" si="8"/>
        <v>0</v>
      </c>
      <c r="I94" s="11">
        <f t="shared" si="9"/>
        <v>-1978156200</v>
      </c>
      <c r="J94" s="53">
        <f t="shared" si="10"/>
        <v>0</v>
      </c>
      <c r="K94" s="53">
        <f t="shared" si="11"/>
        <v>-1978156200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616</v>
      </c>
      <c r="H95" s="36">
        <f t="shared" si="8"/>
        <v>0</v>
      </c>
      <c r="I95" s="11">
        <f t="shared" si="9"/>
        <v>-737103136</v>
      </c>
      <c r="J95" s="53">
        <f t="shared" si="10"/>
        <v>0</v>
      </c>
      <c r="K95" s="53">
        <f t="shared" si="11"/>
        <v>-737103136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606</v>
      </c>
      <c r="H96" s="36">
        <f t="shared" si="8"/>
        <v>0</v>
      </c>
      <c r="I96" s="11">
        <f t="shared" si="9"/>
        <v>-121200000</v>
      </c>
      <c r="J96" s="53">
        <f t="shared" si="10"/>
        <v>0</v>
      </c>
      <c r="K96" s="53">
        <f t="shared" si="11"/>
        <v>-121200000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605</v>
      </c>
      <c r="H97" s="36">
        <f t="shared" si="8"/>
        <v>1</v>
      </c>
      <c r="I97" s="11">
        <f t="shared" si="9"/>
        <v>96373032</v>
      </c>
      <c r="J97" s="53">
        <f t="shared" si="10"/>
        <v>41631304</v>
      </c>
      <c r="K97" s="53">
        <f t="shared" si="11"/>
        <v>54741728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600</v>
      </c>
      <c r="H98" s="36">
        <f t="shared" si="8"/>
        <v>1</v>
      </c>
      <c r="I98" s="11">
        <f t="shared" si="9"/>
        <v>68506432</v>
      </c>
      <c r="J98" s="53">
        <f t="shared" si="10"/>
        <v>0</v>
      </c>
      <c r="K98" s="53">
        <f t="shared" si="11"/>
        <v>68506432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597</v>
      </c>
      <c r="H99" s="36">
        <f t="shared" si="8"/>
        <v>0</v>
      </c>
      <c r="I99" s="11">
        <f t="shared" si="9"/>
        <v>-791025000</v>
      </c>
      <c r="J99" s="53">
        <f t="shared" si="10"/>
        <v>0</v>
      </c>
      <c r="K99" s="53">
        <f t="shared" si="11"/>
        <v>-791025000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592</v>
      </c>
      <c r="H100" s="36">
        <f t="shared" si="8"/>
        <v>1</v>
      </c>
      <c r="I100" s="11">
        <f t="shared" si="9"/>
        <v>783075000</v>
      </c>
      <c r="J100" s="53">
        <f t="shared" si="10"/>
        <v>0</v>
      </c>
      <c r="K100" s="53">
        <f t="shared" si="11"/>
        <v>783075000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575</v>
      </c>
      <c r="H101" s="36">
        <f t="shared" si="8"/>
        <v>1</v>
      </c>
      <c r="I101" s="11">
        <f t="shared" si="9"/>
        <v>38369030</v>
      </c>
      <c r="J101" s="53">
        <f t="shared" si="10"/>
        <v>38369030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572</v>
      </c>
      <c r="H102" s="36">
        <f t="shared" si="8"/>
        <v>1</v>
      </c>
      <c r="I102" s="11">
        <f t="shared" si="9"/>
        <v>1713000000</v>
      </c>
      <c r="J102" s="53">
        <f t="shared" si="10"/>
        <v>0</v>
      </c>
      <c r="K102" s="53">
        <f t="shared" si="11"/>
        <v>1713000000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565</v>
      </c>
      <c r="H103" s="36">
        <f t="shared" si="8"/>
        <v>0</v>
      </c>
      <c r="I103" s="11">
        <f t="shared" si="9"/>
        <v>-565000000</v>
      </c>
      <c r="J103" s="53">
        <f t="shared" si="10"/>
        <v>-565000000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555</v>
      </c>
      <c r="H104" s="36">
        <f t="shared" si="8"/>
        <v>1</v>
      </c>
      <c r="I104" s="11">
        <f t="shared" si="9"/>
        <v>1662000000</v>
      </c>
      <c r="J104" s="53">
        <f t="shared" si="10"/>
        <v>1662000000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554</v>
      </c>
      <c r="H105" s="36">
        <f t="shared" si="8"/>
        <v>1</v>
      </c>
      <c r="I105" s="11">
        <f t="shared" si="9"/>
        <v>619360000</v>
      </c>
      <c r="J105" s="53">
        <f t="shared" si="10"/>
        <v>619360000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554</v>
      </c>
      <c r="H106" s="36">
        <f t="shared" si="8"/>
        <v>0</v>
      </c>
      <c r="I106" s="11">
        <f t="shared" si="9"/>
        <v>-1662000000</v>
      </c>
      <c r="J106" s="53">
        <f t="shared" si="10"/>
        <v>0</v>
      </c>
      <c r="K106" s="53">
        <f t="shared" si="11"/>
        <v>-1662000000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545</v>
      </c>
      <c r="H107" s="36">
        <f t="shared" si="8"/>
        <v>1</v>
      </c>
      <c r="I107" s="11">
        <f t="shared" si="9"/>
        <v>49228736</v>
      </c>
      <c r="J107" s="53">
        <f t="shared" si="10"/>
        <v>40862560</v>
      </c>
      <c r="K107" s="53">
        <f t="shared" si="11"/>
        <v>8366176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543</v>
      </c>
      <c r="H108" s="36">
        <f t="shared" si="8"/>
        <v>0</v>
      </c>
      <c r="I108" s="11">
        <f t="shared" si="9"/>
        <v>-923480100</v>
      </c>
      <c r="J108" s="53">
        <f t="shared" si="10"/>
        <v>0</v>
      </c>
      <c r="K108" s="53">
        <f t="shared" si="11"/>
        <v>-923480100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539</v>
      </c>
      <c r="H109" s="36">
        <f t="shared" si="8"/>
        <v>0</v>
      </c>
      <c r="I109" s="11">
        <f t="shared" si="9"/>
        <v>-539269500</v>
      </c>
      <c r="J109" s="53">
        <f t="shared" si="10"/>
        <v>0</v>
      </c>
      <c r="K109" s="53">
        <f t="shared" si="11"/>
        <v>-539269500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536</v>
      </c>
      <c r="H110" s="36">
        <f t="shared" si="8"/>
        <v>1</v>
      </c>
      <c r="I110" s="11">
        <f t="shared" si="9"/>
        <v>10700000000</v>
      </c>
      <c r="J110" s="53">
        <f t="shared" si="10"/>
        <v>0</v>
      </c>
      <c r="K110" s="53">
        <f t="shared" si="11"/>
        <v>10700000000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516</v>
      </c>
      <c r="H111" s="36">
        <f t="shared" si="8"/>
        <v>1</v>
      </c>
      <c r="I111" s="11">
        <f t="shared" si="9"/>
        <v>89959170</v>
      </c>
      <c r="J111" s="53">
        <f t="shared" si="10"/>
        <v>44991945</v>
      </c>
      <c r="K111" s="53">
        <f t="shared" si="11"/>
        <v>44967225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500</v>
      </c>
      <c r="H112" s="36">
        <f t="shared" si="8"/>
        <v>0</v>
      </c>
      <c r="I112" s="11">
        <f t="shared" si="9"/>
        <v>-14200000000</v>
      </c>
      <c r="J112" s="53">
        <f t="shared" si="10"/>
        <v>0</v>
      </c>
      <c r="K112" s="53">
        <f t="shared" si="11"/>
        <v>-14200000000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485</v>
      </c>
      <c r="H113" s="36">
        <f t="shared" si="8"/>
        <v>1</v>
      </c>
      <c r="I113" s="11">
        <f t="shared" si="9"/>
        <v>78911360</v>
      </c>
      <c r="J113" s="53">
        <f t="shared" si="10"/>
        <v>59295324</v>
      </c>
      <c r="K113" s="53">
        <f t="shared" si="11"/>
        <v>19616036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485</v>
      </c>
      <c r="H114" s="36">
        <f t="shared" si="8"/>
        <v>0</v>
      </c>
      <c r="I114" s="11">
        <f t="shared" si="9"/>
        <v>-2764500</v>
      </c>
      <c r="J114" s="53">
        <f t="shared" si="10"/>
        <v>-1212500</v>
      </c>
      <c r="K114" s="53">
        <f t="shared" si="11"/>
        <v>-1552000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472</v>
      </c>
      <c r="H115" s="36">
        <f t="shared" si="8"/>
        <v>0</v>
      </c>
      <c r="I115" s="11">
        <f t="shared" si="9"/>
        <v>0</v>
      </c>
      <c r="J115" s="53">
        <f t="shared" si="10"/>
        <v>236000000</v>
      </c>
      <c r="K115" s="53">
        <f t="shared" si="11"/>
        <v>-236000000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464</v>
      </c>
      <c r="H116" s="36">
        <f t="shared" si="8"/>
        <v>0</v>
      </c>
      <c r="I116" s="11">
        <f t="shared" si="9"/>
        <v>-74240000</v>
      </c>
      <c r="J116" s="53">
        <f t="shared" si="10"/>
        <v>0</v>
      </c>
      <c r="K116" s="53">
        <f t="shared" si="11"/>
        <v>-74240000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455</v>
      </c>
      <c r="H117" s="36">
        <f t="shared" si="8"/>
        <v>1</v>
      </c>
      <c r="I117" s="11">
        <f t="shared" si="9"/>
        <v>671920</v>
      </c>
      <c r="J117" s="53">
        <f t="shared" si="10"/>
        <v>48551214</v>
      </c>
      <c r="K117" s="53">
        <f t="shared" si="11"/>
        <v>-47879294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433</v>
      </c>
      <c r="H118" s="36">
        <f t="shared" si="8"/>
        <v>1</v>
      </c>
      <c r="I118" s="11">
        <f t="shared" si="9"/>
        <v>17020584000</v>
      </c>
      <c r="J118" s="53">
        <f t="shared" si="10"/>
        <v>0</v>
      </c>
      <c r="K118" s="53">
        <f t="shared" si="11"/>
        <v>17020584000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424</v>
      </c>
      <c r="H119" s="36">
        <f t="shared" si="8"/>
        <v>1</v>
      </c>
      <c r="I119" s="11">
        <f t="shared" si="9"/>
        <v>40405383</v>
      </c>
      <c r="J119" s="53">
        <f t="shared" si="10"/>
        <v>46552842</v>
      </c>
      <c r="K119" s="53">
        <f t="shared" si="11"/>
        <v>-6147459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420</v>
      </c>
      <c r="H120" s="11">
        <f t="shared" si="8"/>
        <v>1</v>
      </c>
      <c r="I120" s="11">
        <f t="shared" ref="I120:I206" si="13">B120*(G120-H120)</f>
        <v>838000000</v>
      </c>
      <c r="J120" s="11">
        <f t="shared" si="10"/>
        <v>0</v>
      </c>
      <c r="K120" s="11">
        <f t="shared" si="11"/>
        <v>838000000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394</v>
      </c>
      <c r="H121" s="11">
        <f t="shared" si="8"/>
        <v>1</v>
      </c>
      <c r="I121" s="11">
        <f t="shared" si="13"/>
        <v>1021800000</v>
      </c>
      <c r="J121" s="11">
        <f t="shared" si="10"/>
        <v>0</v>
      </c>
      <c r="K121" s="11">
        <f t="shared" si="11"/>
        <v>1021800000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393</v>
      </c>
      <c r="H122" s="11">
        <f t="shared" si="8"/>
        <v>1</v>
      </c>
      <c r="I122" s="11">
        <f t="shared" si="13"/>
        <v>150743992</v>
      </c>
      <c r="J122" s="11">
        <f t="shared" si="10"/>
        <v>43475936</v>
      </c>
      <c r="K122" s="11">
        <f t="shared" si="11"/>
        <v>107268056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392</v>
      </c>
      <c r="H123" s="11">
        <f t="shared" si="8"/>
        <v>0</v>
      </c>
      <c r="I123" s="11">
        <f t="shared" si="13"/>
        <v>0</v>
      </c>
      <c r="J123" s="11">
        <f t="shared" si="10"/>
        <v>313600000</v>
      </c>
      <c r="K123" s="11">
        <f t="shared" si="11"/>
        <v>-313600000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378</v>
      </c>
      <c r="H124" s="11">
        <f t="shared" si="8"/>
        <v>0</v>
      </c>
      <c r="I124" s="11">
        <f t="shared" si="13"/>
        <v>-1134000000</v>
      </c>
      <c r="J124" s="11">
        <f t="shared" si="10"/>
        <v>0</v>
      </c>
      <c r="K124" s="11">
        <f t="shared" si="11"/>
        <v>-1134000000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363</v>
      </c>
      <c r="H125" s="11">
        <f t="shared" si="8"/>
        <v>1</v>
      </c>
      <c r="I125" s="11">
        <f t="shared" si="13"/>
        <v>145057020</v>
      </c>
      <c r="J125" s="11">
        <f t="shared" si="10"/>
        <v>43032750</v>
      </c>
      <c r="K125" s="11">
        <f t="shared" si="11"/>
        <v>102024270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363</v>
      </c>
      <c r="H126" s="11">
        <f t="shared" si="8"/>
        <v>1</v>
      </c>
      <c r="I126" s="11">
        <f t="shared" si="13"/>
        <v>15204000000</v>
      </c>
      <c r="J126" s="11">
        <f t="shared" si="10"/>
        <v>0</v>
      </c>
      <c r="K126" s="11">
        <f t="shared" si="11"/>
        <v>15204000000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338</v>
      </c>
      <c r="H127" s="11">
        <f t="shared" si="8"/>
        <v>0</v>
      </c>
      <c r="I127" s="11">
        <f t="shared" si="13"/>
        <v>-1690000</v>
      </c>
      <c r="J127" s="11">
        <f t="shared" si="10"/>
        <v>0</v>
      </c>
      <c r="K127" s="11">
        <f t="shared" si="11"/>
        <v>-1690000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332</v>
      </c>
      <c r="H128" s="11">
        <f t="shared" si="8"/>
        <v>1</v>
      </c>
      <c r="I128" s="11">
        <f t="shared" si="13"/>
        <v>255324794</v>
      </c>
      <c r="J128" s="11">
        <f t="shared" si="10"/>
        <v>39950707</v>
      </c>
      <c r="K128" s="11">
        <f t="shared" si="11"/>
        <v>215374087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329</v>
      </c>
      <c r="H129" s="11">
        <f t="shared" si="8"/>
        <v>1</v>
      </c>
      <c r="I129" s="11">
        <f t="shared" si="13"/>
        <v>820000000</v>
      </c>
      <c r="J129" s="11">
        <f t="shared" si="10"/>
        <v>0</v>
      </c>
      <c r="K129" s="11">
        <f t="shared" si="11"/>
        <v>820000000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315</v>
      </c>
      <c r="H130" s="11">
        <f t="shared" si="8"/>
        <v>0</v>
      </c>
      <c r="I130" s="11">
        <f t="shared" si="13"/>
        <v>-315000000</v>
      </c>
      <c r="J130" s="11">
        <f t="shared" si="10"/>
        <v>-315000000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310</v>
      </c>
      <c r="H131" s="11">
        <f t="shared" si="8"/>
        <v>0</v>
      </c>
      <c r="I131" s="11">
        <f t="shared" si="13"/>
        <v>-15500000000</v>
      </c>
      <c r="J131" s="11">
        <f t="shared" si="10"/>
        <v>0</v>
      </c>
      <c r="K131" s="11">
        <f t="shared" si="11"/>
        <v>-15500000000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302</v>
      </c>
      <c r="H132" s="11">
        <f t="shared" ref="H132:H206" si="15">IF(B132&gt;0,1,0)</f>
        <v>1</v>
      </c>
      <c r="I132" s="11">
        <f t="shared" si="13"/>
        <v>184900387</v>
      </c>
      <c r="J132" s="11">
        <f t="shared" ref="J132:J206" si="16">C132*(G132-H132)</f>
        <v>31897271</v>
      </c>
      <c r="K132" s="11">
        <f t="shared" ref="K132:K206" si="17">D132*(G132-H132)</f>
        <v>153003116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298</v>
      </c>
      <c r="H133" s="11">
        <f t="shared" si="15"/>
        <v>0</v>
      </c>
      <c r="I133" s="11">
        <f t="shared" si="13"/>
        <v>-360788600</v>
      </c>
      <c r="J133" s="11">
        <f t="shared" si="16"/>
        <v>0</v>
      </c>
      <c r="K133" s="11">
        <f t="shared" si="17"/>
        <v>-360788600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289</v>
      </c>
      <c r="H134" s="11">
        <f t="shared" si="15"/>
        <v>0</v>
      </c>
      <c r="I134" s="11">
        <f t="shared" si="13"/>
        <v>-18785000</v>
      </c>
      <c r="J134" s="11">
        <f t="shared" si="16"/>
        <v>0</v>
      </c>
      <c r="K134" s="11">
        <f t="shared" si="17"/>
        <v>-18785000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289</v>
      </c>
      <c r="H135" s="11">
        <f t="shared" si="15"/>
        <v>0</v>
      </c>
      <c r="I135" s="11">
        <f t="shared" si="13"/>
        <v>-9334700</v>
      </c>
      <c r="J135" s="11">
        <f t="shared" si="16"/>
        <v>0</v>
      </c>
      <c r="K135" s="11">
        <f t="shared" si="17"/>
        <v>-9334700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281</v>
      </c>
      <c r="H136" s="11">
        <f t="shared" si="15"/>
        <v>0</v>
      </c>
      <c r="I136" s="11">
        <f t="shared" si="13"/>
        <v>-281000000</v>
      </c>
      <c r="J136" s="11">
        <f t="shared" si="16"/>
        <v>-281000000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272</v>
      </c>
      <c r="H137" s="11">
        <f t="shared" si="15"/>
        <v>1</v>
      </c>
      <c r="I137" s="11">
        <f t="shared" si="13"/>
        <v>78826583</v>
      </c>
      <c r="J137" s="11">
        <f t="shared" si="16"/>
        <v>26384289</v>
      </c>
      <c r="K137" s="11">
        <f t="shared" si="17"/>
        <v>52442294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255</v>
      </c>
      <c r="H138" s="11">
        <f t="shared" si="15"/>
        <v>0</v>
      </c>
      <c r="I138" s="11">
        <f t="shared" si="13"/>
        <v>-255127500</v>
      </c>
      <c r="J138" s="11">
        <f t="shared" si="16"/>
        <v>-255127500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243</v>
      </c>
      <c r="H139" s="11">
        <f t="shared" si="15"/>
        <v>1</v>
      </c>
      <c r="I139" s="11">
        <f t="shared" si="13"/>
        <v>68302080</v>
      </c>
      <c r="J139" s="11">
        <f t="shared" si="16"/>
        <v>21491294</v>
      </c>
      <c r="K139" s="11">
        <f t="shared" si="17"/>
        <v>46810786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240</v>
      </c>
      <c r="H140" s="11">
        <f t="shared" si="15"/>
        <v>1</v>
      </c>
      <c r="I140" s="11">
        <f t="shared" si="13"/>
        <v>358500000</v>
      </c>
      <c r="J140" s="11">
        <f t="shared" si="16"/>
        <v>0</v>
      </c>
      <c r="K140" s="11">
        <f t="shared" si="17"/>
        <v>358500000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227</v>
      </c>
      <c r="H141" s="11">
        <f t="shared" si="15"/>
        <v>0</v>
      </c>
      <c r="I141" s="11">
        <f t="shared" si="13"/>
        <v>0</v>
      </c>
      <c r="J141" s="11">
        <f t="shared" si="16"/>
        <v>-227000000</v>
      </c>
      <c r="K141" s="11">
        <f t="shared" si="17"/>
        <v>227000000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213</v>
      </c>
      <c r="H142" s="11">
        <f t="shared" si="15"/>
        <v>1</v>
      </c>
      <c r="I142" s="11">
        <f t="shared" si="13"/>
        <v>61669316</v>
      </c>
      <c r="J142" s="11">
        <f t="shared" si="16"/>
        <v>17176664</v>
      </c>
      <c r="K142" s="11">
        <f t="shared" si="17"/>
        <v>44492652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193</v>
      </c>
      <c r="H143" s="11">
        <f t="shared" si="15"/>
        <v>0</v>
      </c>
      <c r="I143" s="11">
        <f t="shared" si="13"/>
        <v>0</v>
      </c>
      <c r="J143" s="11">
        <f t="shared" si="16"/>
        <v>-193000000</v>
      </c>
      <c r="K143" s="11">
        <f t="shared" si="17"/>
        <v>193000000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183</v>
      </c>
      <c r="H144" s="11">
        <f t="shared" si="15"/>
        <v>1</v>
      </c>
      <c r="I144" s="11">
        <f t="shared" si="13"/>
        <v>53663064</v>
      </c>
      <c r="J144" s="11">
        <f t="shared" si="16"/>
        <v>13587574</v>
      </c>
      <c r="K144" s="11">
        <f t="shared" si="17"/>
        <v>40075490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168</v>
      </c>
      <c r="H145" s="11">
        <f t="shared" si="15"/>
        <v>0</v>
      </c>
      <c r="I145" s="11">
        <f t="shared" si="13"/>
        <v>-1680000</v>
      </c>
      <c r="J145" s="11">
        <f t="shared" si="16"/>
        <v>-840000</v>
      </c>
      <c r="K145" s="11">
        <f t="shared" si="17"/>
        <v>-840000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163</v>
      </c>
      <c r="H146" s="11">
        <f t="shared" si="15"/>
        <v>0</v>
      </c>
      <c r="I146" s="11">
        <f t="shared" si="13"/>
        <v>-163081500</v>
      </c>
      <c r="J146" s="11">
        <f t="shared" si="16"/>
        <v>-163081500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1013</v>
      </c>
      <c r="F147" s="11">
        <v>3</v>
      </c>
      <c r="G147" s="36">
        <f t="shared" si="14"/>
        <v>157</v>
      </c>
      <c r="H147" s="11">
        <f t="shared" si="15"/>
        <v>0</v>
      </c>
      <c r="I147" s="11">
        <f t="shared" si="13"/>
        <v>-4239000000</v>
      </c>
      <c r="J147" s="11">
        <f t="shared" si="16"/>
        <v>0</v>
      </c>
      <c r="K147" s="11">
        <f t="shared" si="17"/>
        <v>-4239000000</v>
      </c>
    </row>
    <row r="148" spans="1:11" x14ac:dyDescent="0.25">
      <c r="A148" s="11" t="s">
        <v>1038</v>
      </c>
      <c r="B148" s="18">
        <v>252436</v>
      </c>
      <c r="C148" s="18">
        <v>65510</v>
      </c>
      <c r="D148" s="18">
        <f t="shared" si="12"/>
        <v>186926</v>
      </c>
      <c r="E148" s="11" t="s">
        <v>1040</v>
      </c>
      <c r="F148" s="11">
        <v>8</v>
      </c>
      <c r="G148" s="36">
        <f t="shared" si="14"/>
        <v>154</v>
      </c>
      <c r="H148" s="11">
        <f t="shared" si="15"/>
        <v>1</v>
      </c>
      <c r="I148" s="11">
        <f t="shared" si="13"/>
        <v>38622708</v>
      </c>
      <c r="J148" s="11">
        <f t="shared" si="16"/>
        <v>10023030</v>
      </c>
      <c r="K148" s="11">
        <f t="shared" si="17"/>
        <v>28599678</v>
      </c>
    </row>
    <row r="149" spans="1:11" x14ac:dyDescent="0.25">
      <c r="A149" s="11" t="s">
        <v>1077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1078</v>
      </c>
      <c r="F149" s="11">
        <v>7</v>
      </c>
      <c r="G149" s="36">
        <f t="shared" si="14"/>
        <v>146</v>
      </c>
      <c r="H149" s="11">
        <f t="shared" si="15"/>
        <v>1</v>
      </c>
      <c r="I149" s="11">
        <f t="shared" si="13"/>
        <v>7598000000</v>
      </c>
      <c r="J149" s="11">
        <f t="shared" si="16"/>
        <v>0</v>
      </c>
      <c r="K149" s="11">
        <f t="shared" si="17"/>
        <v>7598000000</v>
      </c>
    </row>
    <row r="150" spans="1:11" x14ac:dyDescent="0.25">
      <c r="A150" s="11" t="s">
        <v>1084</v>
      </c>
      <c r="B150" s="18">
        <v>-52000000</v>
      </c>
      <c r="C150" s="18">
        <v>0</v>
      </c>
      <c r="D150" s="18">
        <f t="shared" si="18"/>
        <v>-52000000</v>
      </c>
      <c r="E150" s="11" t="s">
        <v>1087</v>
      </c>
      <c r="F150" s="11">
        <v>5</v>
      </c>
      <c r="G150" s="36">
        <f t="shared" si="14"/>
        <v>139</v>
      </c>
      <c r="H150" s="11">
        <f t="shared" si="15"/>
        <v>0</v>
      </c>
      <c r="I150" s="11">
        <f t="shared" si="13"/>
        <v>-7228000000</v>
      </c>
      <c r="J150" s="11">
        <f t="shared" si="16"/>
        <v>0</v>
      </c>
      <c r="K150" s="11">
        <f t="shared" si="17"/>
        <v>-7228000000</v>
      </c>
    </row>
    <row r="151" spans="1:11" x14ac:dyDescent="0.25">
      <c r="A151" s="11" t="s">
        <v>1130</v>
      </c>
      <c r="B151" s="18">
        <v>-8000000</v>
      </c>
      <c r="C151" s="18">
        <v>-6772131</v>
      </c>
      <c r="D151" s="18">
        <f t="shared" si="18"/>
        <v>-1227869</v>
      </c>
      <c r="E151" s="11" t="s">
        <v>1119</v>
      </c>
      <c r="F151" s="11">
        <v>0</v>
      </c>
      <c r="G151" s="36">
        <f t="shared" si="14"/>
        <v>134</v>
      </c>
      <c r="H151" s="105">
        <f t="shared" si="15"/>
        <v>0</v>
      </c>
      <c r="I151" s="105">
        <f t="shared" si="13"/>
        <v>-1072000000</v>
      </c>
      <c r="J151" s="105">
        <f t="shared" si="16"/>
        <v>-907465554</v>
      </c>
      <c r="K151" s="11">
        <f t="shared" si="17"/>
        <v>-164534446</v>
      </c>
    </row>
    <row r="152" spans="1:11" x14ac:dyDescent="0.25">
      <c r="A152" s="11" t="s">
        <v>1130</v>
      </c>
      <c r="B152" s="18">
        <v>-31230</v>
      </c>
      <c r="C152" s="18">
        <v>0</v>
      </c>
      <c r="D152" s="18">
        <f t="shared" si="18"/>
        <v>-31230</v>
      </c>
      <c r="E152" s="11" t="s">
        <v>1131</v>
      </c>
      <c r="F152" s="11">
        <v>11</v>
      </c>
      <c r="G152" s="36">
        <f t="shared" si="14"/>
        <v>134</v>
      </c>
      <c r="H152" s="105">
        <f t="shared" si="15"/>
        <v>0</v>
      </c>
      <c r="I152" s="105">
        <f t="shared" si="13"/>
        <v>-4184820</v>
      </c>
      <c r="J152" s="105">
        <f t="shared" si="16"/>
        <v>0</v>
      </c>
      <c r="K152" s="105">
        <f t="shared" si="17"/>
        <v>-4184820</v>
      </c>
    </row>
    <row r="153" spans="1:11" x14ac:dyDescent="0.25">
      <c r="A153" s="105" t="s">
        <v>1177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123</v>
      </c>
      <c r="H153" s="105">
        <f t="shared" si="15"/>
        <v>1</v>
      </c>
      <c r="I153" s="105">
        <f t="shared" si="13"/>
        <v>16480614</v>
      </c>
      <c r="J153" s="105">
        <f t="shared" si="16"/>
        <v>5017860</v>
      </c>
      <c r="K153" s="105">
        <f t="shared" si="17"/>
        <v>11462754</v>
      </c>
    </row>
    <row r="154" spans="1:11" x14ac:dyDescent="0.25">
      <c r="A154" s="105" t="s">
        <v>1188</v>
      </c>
      <c r="B154" s="18">
        <v>6824082</v>
      </c>
      <c r="C154" s="18">
        <v>6824082</v>
      </c>
      <c r="D154" s="18">
        <f t="shared" si="18"/>
        <v>0</v>
      </c>
      <c r="E154" s="105" t="s">
        <v>1189</v>
      </c>
      <c r="F154" s="105">
        <v>5</v>
      </c>
      <c r="G154" s="36">
        <f t="shared" si="14"/>
        <v>120</v>
      </c>
      <c r="H154" s="105">
        <f t="shared" si="15"/>
        <v>1</v>
      </c>
      <c r="I154" s="105">
        <f t="shared" si="13"/>
        <v>812065758</v>
      </c>
      <c r="J154" s="105">
        <f t="shared" si="16"/>
        <v>812065758</v>
      </c>
      <c r="K154" s="105">
        <f t="shared" si="17"/>
        <v>0</v>
      </c>
    </row>
    <row r="155" spans="1:11" x14ac:dyDescent="0.25">
      <c r="A155" s="105" t="s">
        <v>1207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115</v>
      </c>
      <c r="H155" s="105">
        <f t="shared" si="15"/>
        <v>0</v>
      </c>
      <c r="I155" s="105">
        <f t="shared" si="13"/>
        <v>-23000000</v>
      </c>
      <c r="J155" s="105">
        <f t="shared" si="16"/>
        <v>0</v>
      </c>
      <c r="K155" s="105">
        <f t="shared" si="17"/>
        <v>-23000000</v>
      </c>
    </row>
    <row r="156" spans="1:11" x14ac:dyDescent="0.25">
      <c r="A156" s="105" t="s">
        <v>1207</v>
      </c>
      <c r="B156" s="18">
        <v>-247840</v>
      </c>
      <c r="C156" s="18">
        <v>0</v>
      </c>
      <c r="D156" s="18">
        <f t="shared" si="18"/>
        <v>-247840</v>
      </c>
      <c r="E156" s="105" t="s">
        <v>1209</v>
      </c>
      <c r="F156" s="105">
        <v>1</v>
      </c>
      <c r="G156" s="36">
        <f t="shared" si="14"/>
        <v>115</v>
      </c>
      <c r="H156" s="105">
        <f t="shared" si="15"/>
        <v>0</v>
      </c>
      <c r="I156" s="105">
        <f t="shared" si="13"/>
        <v>-28501600</v>
      </c>
      <c r="J156" s="105">
        <f t="shared" si="16"/>
        <v>0</v>
      </c>
      <c r="K156" s="105">
        <f t="shared" si="17"/>
        <v>-28501600</v>
      </c>
    </row>
    <row r="157" spans="1:11" x14ac:dyDescent="0.25">
      <c r="A157" s="105" t="s">
        <v>1213</v>
      </c>
      <c r="B157" s="18">
        <v>-162340</v>
      </c>
      <c r="C157" s="18">
        <v>0</v>
      </c>
      <c r="D157" s="18">
        <f t="shared" si="18"/>
        <v>-162340</v>
      </c>
      <c r="E157" s="105" t="s">
        <v>1214</v>
      </c>
      <c r="F157" s="105">
        <v>0</v>
      </c>
      <c r="G157" s="36">
        <f t="shared" si="14"/>
        <v>114</v>
      </c>
      <c r="H157" s="105">
        <f t="shared" si="15"/>
        <v>0</v>
      </c>
      <c r="I157" s="105">
        <f t="shared" si="13"/>
        <v>-18506760</v>
      </c>
      <c r="J157" s="105">
        <f t="shared" si="16"/>
        <v>0</v>
      </c>
      <c r="K157" s="105">
        <f t="shared" si="17"/>
        <v>-18506760</v>
      </c>
    </row>
    <row r="158" spans="1:11" x14ac:dyDescent="0.25">
      <c r="A158" s="105" t="s">
        <v>1213</v>
      </c>
      <c r="B158" s="18">
        <v>-3000900</v>
      </c>
      <c r="C158" s="18">
        <v>0</v>
      </c>
      <c r="D158" s="18">
        <f t="shared" si="18"/>
        <v>-3000900</v>
      </c>
      <c r="E158" s="105" t="s">
        <v>1215</v>
      </c>
      <c r="F158" s="105">
        <v>2</v>
      </c>
      <c r="G158" s="36">
        <f t="shared" si="14"/>
        <v>114</v>
      </c>
      <c r="H158" s="105">
        <f t="shared" si="15"/>
        <v>0</v>
      </c>
      <c r="I158" s="105">
        <f t="shared" si="13"/>
        <v>-342102600</v>
      </c>
      <c r="J158" s="105">
        <f t="shared" si="16"/>
        <v>0</v>
      </c>
      <c r="K158" s="105">
        <f t="shared" si="17"/>
        <v>-342102600</v>
      </c>
    </row>
    <row r="159" spans="1:11" x14ac:dyDescent="0.25">
      <c r="A159" s="105" t="s">
        <v>1229</v>
      </c>
      <c r="B159" s="18">
        <v>-1000500</v>
      </c>
      <c r="C159" s="18">
        <v>0</v>
      </c>
      <c r="D159" s="18">
        <f t="shared" si="18"/>
        <v>-1000500</v>
      </c>
      <c r="E159" s="105" t="s">
        <v>1230</v>
      </c>
      <c r="F159" s="105">
        <v>4</v>
      </c>
      <c r="G159" s="36">
        <f t="shared" si="14"/>
        <v>112</v>
      </c>
      <c r="H159" s="105">
        <f t="shared" si="15"/>
        <v>0</v>
      </c>
      <c r="I159" s="105">
        <f t="shared" si="13"/>
        <v>-112056000</v>
      </c>
      <c r="J159" s="105">
        <f t="shared" si="16"/>
        <v>0</v>
      </c>
      <c r="K159" s="105">
        <f t="shared" si="17"/>
        <v>-112056000</v>
      </c>
    </row>
    <row r="160" spans="1:11" x14ac:dyDescent="0.25">
      <c r="A160" s="105" t="s">
        <v>1241</v>
      </c>
      <c r="B160" s="18">
        <v>-100000</v>
      </c>
      <c r="C160" s="18">
        <v>0</v>
      </c>
      <c r="D160" s="18">
        <f t="shared" si="18"/>
        <v>-100000</v>
      </c>
      <c r="E160" s="105" t="s">
        <v>1242</v>
      </c>
      <c r="F160" s="105">
        <v>1</v>
      </c>
      <c r="G160" s="36">
        <f t="shared" si="14"/>
        <v>108</v>
      </c>
      <c r="H160" s="105">
        <f t="shared" si="15"/>
        <v>0</v>
      </c>
      <c r="I160" s="105">
        <f t="shared" si="13"/>
        <v>-10800000</v>
      </c>
      <c r="J160" s="105">
        <f t="shared" si="16"/>
        <v>0</v>
      </c>
      <c r="K160" s="105">
        <f t="shared" si="17"/>
        <v>-10800000</v>
      </c>
    </row>
    <row r="161" spans="1:13" x14ac:dyDescent="0.25">
      <c r="A161" s="105" t="s">
        <v>1245</v>
      </c>
      <c r="B161" s="18">
        <v>-2000000</v>
      </c>
      <c r="C161" s="18">
        <v>0</v>
      </c>
      <c r="D161" s="18">
        <f t="shared" si="18"/>
        <v>-2000000</v>
      </c>
      <c r="E161" s="105" t="s">
        <v>1119</v>
      </c>
      <c r="F161" s="105">
        <v>0</v>
      </c>
      <c r="G161" s="36">
        <f t="shared" si="14"/>
        <v>107</v>
      </c>
      <c r="H161" s="105">
        <f t="shared" si="15"/>
        <v>0</v>
      </c>
      <c r="I161" s="105">
        <f t="shared" si="13"/>
        <v>-214000000</v>
      </c>
      <c r="J161" s="105">
        <f t="shared" si="16"/>
        <v>0</v>
      </c>
      <c r="K161" s="105">
        <f t="shared" si="17"/>
        <v>-214000000</v>
      </c>
    </row>
    <row r="162" spans="1:13" x14ac:dyDescent="0.25">
      <c r="A162" s="105" t="s">
        <v>1245</v>
      </c>
      <c r="B162" s="18">
        <v>-1000500</v>
      </c>
      <c r="C162" s="18">
        <v>0</v>
      </c>
      <c r="D162" s="18">
        <f t="shared" si="18"/>
        <v>-1000500</v>
      </c>
      <c r="E162" s="105" t="s">
        <v>1253</v>
      </c>
      <c r="F162" s="105">
        <v>3</v>
      </c>
      <c r="G162" s="36">
        <f t="shared" si="14"/>
        <v>107</v>
      </c>
      <c r="H162" s="105">
        <f t="shared" si="15"/>
        <v>0</v>
      </c>
      <c r="I162" s="105">
        <f t="shared" si="13"/>
        <v>-107053500</v>
      </c>
      <c r="J162" s="105">
        <f t="shared" si="16"/>
        <v>0</v>
      </c>
      <c r="K162" s="105">
        <f t="shared" si="17"/>
        <v>-107053500</v>
      </c>
    </row>
    <row r="163" spans="1:13" x14ac:dyDescent="0.25">
      <c r="A163" s="105" t="s">
        <v>1260</v>
      </c>
      <c r="B163" s="18">
        <v>-5000</v>
      </c>
      <c r="C163" s="18">
        <v>0</v>
      </c>
      <c r="D163" s="18">
        <f t="shared" si="18"/>
        <v>-5000</v>
      </c>
      <c r="E163" s="105" t="s">
        <v>1242</v>
      </c>
      <c r="F163" s="105">
        <v>10</v>
      </c>
      <c r="G163" s="36">
        <f t="shared" si="14"/>
        <v>104</v>
      </c>
      <c r="H163" s="105">
        <f t="shared" si="15"/>
        <v>0</v>
      </c>
      <c r="I163" s="105">
        <f t="shared" si="13"/>
        <v>-520000</v>
      </c>
      <c r="J163" s="105">
        <f t="shared" si="16"/>
        <v>0</v>
      </c>
      <c r="K163" s="105">
        <f t="shared" si="17"/>
        <v>-520000</v>
      </c>
    </row>
    <row r="164" spans="1:13" x14ac:dyDescent="0.25">
      <c r="A164" s="105" t="s">
        <v>3703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94</v>
      </c>
      <c r="H164" s="105">
        <f t="shared" si="15"/>
        <v>1</v>
      </c>
      <c r="I164" s="105">
        <f t="shared" si="13"/>
        <v>279000000</v>
      </c>
      <c r="J164" s="105">
        <f t="shared" si="16"/>
        <v>0</v>
      </c>
      <c r="K164" s="105">
        <f t="shared" si="17"/>
        <v>279000000</v>
      </c>
    </row>
    <row r="165" spans="1:13" x14ac:dyDescent="0.25">
      <c r="A165" s="105" t="s">
        <v>3707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93</v>
      </c>
      <c r="H165" s="105">
        <f t="shared" si="15"/>
        <v>1</v>
      </c>
      <c r="I165" s="105">
        <f t="shared" si="13"/>
        <v>276000000</v>
      </c>
      <c r="J165" s="105">
        <f t="shared" si="16"/>
        <v>0</v>
      </c>
      <c r="K165" s="105">
        <f t="shared" si="17"/>
        <v>276000000</v>
      </c>
    </row>
    <row r="166" spans="1:13" x14ac:dyDescent="0.25">
      <c r="A166" s="105" t="s">
        <v>3709</v>
      </c>
      <c r="B166" s="18">
        <v>20314</v>
      </c>
      <c r="C166" s="18">
        <v>59842</v>
      </c>
      <c r="D166" s="18">
        <f t="shared" si="18"/>
        <v>-39528</v>
      </c>
      <c r="E166" s="105" t="s">
        <v>3712</v>
      </c>
      <c r="F166" s="105">
        <v>5</v>
      </c>
      <c r="G166" s="36">
        <f t="shared" si="14"/>
        <v>92</v>
      </c>
      <c r="H166" s="105">
        <f t="shared" si="15"/>
        <v>1</v>
      </c>
      <c r="I166" s="105">
        <f t="shared" si="13"/>
        <v>1848574</v>
      </c>
      <c r="J166" s="105">
        <f t="shared" si="16"/>
        <v>5445622</v>
      </c>
      <c r="K166" s="105">
        <f t="shared" si="17"/>
        <v>-3597048</v>
      </c>
    </row>
    <row r="167" spans="1:13" x14ac:dyDescent="0.25">
      <c r="A167" s="105" t="s">
        <v>3732</v>
      </c>
      <c r="B167" s="18">
        <v>-3000900</v>
      </c>
      <c r="C167" s="18">
        <v>0</v>
      </c>
      <c r="D167" s="18">
        <f t="shared" si="18"/>
        <v>-3000900</v>
      </c>
      <c r="E167" s="105" t="s">
        <v>3733</v>
      </c>
      <c r="F167" s="105">
        <v>18</v>
      </c>
      <c r="G167" s="36">
        <f t="shared" si="14"/>
        <v>87</v>
      </c>
      <c r="H167" s="105">
        <f t="shared" si="15"/>
        <v>0</v>
      </c>
      <c r="I167" s="105">
        <f t="shared" si="13"/>
        <v>-261078300</v>
      </c>
      <c r="J167" s="105">
        <f t="shared" si="16"/>
        <v>0</v>
      </c>
      <c r="K167" s="105">
        <f t="shared" si="17"/>
        <v>-261078300</v>
      </c>
    </row>
    <row r="168" spans="1:13" x14ac:dyDescent="0.25">
      <c r="A168" s="105" t="s">
        <v>3810</v>
      </c>
      <c r="B168" s="18">
        <v>-3000900</v>
      </c>
      <c r="C168" s="18">
        <v>0</v>
      </c>
      <c r="D168" s="18">
        <f t="shared" si="18"/>
        <v>-3000900</v>
      </c>
      <c r="E168" s="105" t="s">
        <v>3811</v>
      </c>
      <c r="F168" s="105">
        <v>8</v>
      </c>
      <c r="G168" s="36">
        <f t="shared" si="14"/>
        <v>69</v>
      </c>
      <c r="H168" s="105">
        <f t="shared" si="15"/>
        <v>0</v>
      </c>
      <c r="I168" s="105">
        <f t="shared" si="13"/>
        <v>-207062100</v>
      </c>
      <c r="J168" s="105">
        <f t="shared" si="16"/>
        <v>0</v>
      </c>
      <c r="K168" s="105">
        <f t="shared" si="17"/>
        <v>-207062100</v>
      </c>
      <c r="M168" t="s">
        <v>25</v>
      </c>
    </row>
    <row r="169" spans="1:13" x14ac:dyDescent="0.25">
      <c r="A169" s="105" t="s">
        <v>3842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61</v>
      </c>
      <c r="H169" s="105">
        <f t="shared" si="15"/>
        <v>1</v>
      </c>
      <c r="I169" s="105">
        <f t="shared" si="13"/>
        <v>1302300</v>
      </c>
      <c r="J169" s="105">
        <f t="shared" si="16"/>
        <v>4110900</v>
      </c>
      <c r="K169" s="105">
        <f t="shared" si="17"/>
        <v>-2808600</v>
      </c>
    </row>
    <row r="170" spans="1:13" x14ac:dyDescent="0.25">
      <c r="A170" s="105" t="s">
        <v>3966</v>
      </c>
      <c r="B170" s="18">
        <v>5000000</v>
      </c>
      <c r="C170" s="18">
        <v>0</v>
      </c>
      <c r="D170" s="18">
        <f t="shared" si="18"/>
        <v>5000000</v>
      </c>
      <c r="E170" s="105" t="s">
        <v>3930</v>
      </c>
      <c r="F170" s="105">
        <v>1</v>
      </c>
      <c r="G170" s="36">
        <f t="shared" si="14"/>
        <v>37</v>
      </c>
      <c r="H170" s="105">
        <f t="shared" si="15"/>
        <v>1</v>
      </c>
      <c r="I170" s="105">
        <f t="shared" si="13"/>
        <v>180000000</v>
      </c>
      <c r="J170" s="105">
        <f t="shared" si="16"/>
        <v>0</v>
      </c>
      <c r="K170" s="105">
        <f t="shared" si="17"/>
        <v>180000000</v>
      </c>
    </row>
    <row r="171" spans="1:13" x14ac:dyDescent="0.25">
      <c r="A171" s="105" t="s">
        <v>3971</v>
      </c>
      <c r="B171" s="18">
        <v>-5000000</v>
      </c>
      <c r="C171" s="18">
        <v>0</v>
      </c>
      <c r="D171" s="18">
        <f t="shared" si="18"/>
        <v>-5000000</v>
      </c>
      <c r="E171" s="105" t="s">
        <v>3972</v>
      </c>
      <c r="F171" s="105">
        <v>6</v>
      </c>
      <c r="G171" s="36">
        <f t="shared" si="14"/>
        <v>36</v>
      </c>
      <c r="H171" s="105">
        <f t="shared" si="15"/>
        <v>0</v>
      </c>
      <c r="I171" s="105">
        <f t="shared" si="13"/>
        <v>-180000000</v>
      </c>
      <c r="J171" s="105">
        <f t="shared" si="16"/>
        <v>0</v>
      </c>
      <c r="K171" s="105">
        <f t="shared" si="17"/>
        <v>-180000000</v>
      </c>
    </row>
    <row r="172" spans="1:13" x14ac:dyDescent="0.25">
      <c r="A172" s="105" t="s">
        <v>4004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30</v>
      </c>
      <c r="H172" s="105">
        <f t="shared" si="15"/>
        <v>1</v>
      </c>
      <c r="I172" s="105">
        <f t="shared" si="13"/>
        <v>14384</v>
      </c>
      <c r="J172" s="105">
        <f t="shared" si="16"/>
        <v>1817749</v>
      </c>
      <c r="K172" s="105">
        <f t="shared" si="17"/>
        <v>-1803365</v>
      </c>
    </row>
    <row r="173" spans="1:13" x14ac:dyDescent="0.25">
      <c r="A173" s="105" t="s">
        <v>4042</v>
      </c>
      <c r="B173" s="18">
        <v>785000</v>
      </c>
      <c r="C173" s="18">
        <v>0</v>
      </c>
      <c r="D173" s="18">
        <f t="shared" si="18"/>
        <v>785000</v>
      </c>
      <c r="E173" s="105" t="s">
        <v>4043</v>
      </c>
      <c r="F173" s="105">
        <v>11</v>
      </c>
      <c r="G173" s="36">
        <f t="shared" si="14"/>
        <v>29</v>
      </c>
      <c r="H173" s="105">
        <f t="shared" si="15"/>
        <v>1</v>
      </c>
      <c r="I173" s="105">
        <f t="shared" si="13"/>
        <v>21980000</v>
      </c>
      <c r="J173" s="105">
        <f t="shared" si="16"/>
        <v>0</v>
      </c>
      <c r="K173" s="105">
        <f t="shared" si="17"/>
        <v>21980000</v>
      </c>
    </row>
    <row r="174" spans="1:13" x14ac:dyDescent="0.25">
      <c r="A174" s="11" t="s">
        <v>4042</v>
      </c>
      <c r="B174" s="18">
        <v>-32000</v>
      </c>
      <c r="C174" s="18">
        <v>0</v>
      </c>
      <c r="D174" s="18">
        <f t="shared" si="18"/>
        <v>-32000</v>
      </c>
      <c r="E174" s="11" t="s">
        <v>4013</v>
      </c>
      <c r="F174" s="11">
        <v>2</v>
      </c>
      <c r="G174" s="36">
        <f t="shared" si="14"/>
        <v>18</v>
      </c>
      <c r="H174" s="105">
        <f t="shared" si="15"/>
        <v>0</v>
      </c>
      <c r="I174" s="105">
        <f t="shared" si="13"/>
        <v>-576000</v>
      </c>
      <c r="J174" s="105">
        <f t="shared" si="16"/>
        <v>0</v>
      </c>
      <c r="K174" s="105">
        <f t="shared" si="17"/>
        <v>-576000</v>
      </c>
    </row>
    <row r="175" spans="1:13" x14ac:dyDescent="0.25">
      <c r="A175" s="105" t="s">
        <v>4044</v>
      </c>
      <c r="B175" s="18">
        <v>-750000</v>
      </c>
      <c r="C175" s="18">
        <v>0</v>
      </c>
      <c r="D175" s="18">
        <f t="shared" si="18"/>
        <v>-750000</v>
      </c>
      <c r="E175" s="105" t="s">
        <v>3808</v>
      </c>
      <c r="F175" s="105">
        <v>9</v>
      </c>
      <c r="G175" s="36">
        <f t="shared" si="14"/>
        <v>16</v>
      </c>
      <c r="H175" s="105">
        <f t="shared" si="15"/>
        <v>0</v>
      </c>
      <c r="I175" s="105">
        <f t="shared" si="13"/>
        <v>-12000000</v>
      </c>
      <c r="J175" s="105">
        <f t="shared" si="16"/>
        <v>0</v>
      </c>
      <c r="K175" s="105">
        <f t="shared" si="17"/>
        <v>-12000000</v>
      </c>
    </row>
    <row r="176" spans="1:13" x14ac:dyDescent="0.25">
      <c r="A176" s="105" t="s">
        <v>4092</v>
      </c>
      <c r="B176" s="18">
        <v>-9396</v>
      </c>
      <c r="C176" s="18">
        <v>0</v>
      </c>
      <c r="D176" s="18">
        <f t="shared" si="18"/>
        <v>-9396</v>
      </c>
      <c r="E176" s="105" t="s">
        <v>4093</v>
      </c>
      <c r="F176" s="105">
        <v>1</v>
      </c>
      <c r="G176" s="36">
        <f t="shared" si="14"/>
        <v>7</v>
      </c>
      <c r="H176" s="105">
        <f t="shared" si="15"/>
        <v>0</v>
      </c>
      <c r="I176" s="105">
        <f t="shared" si="13"/>
        <v>-65772</v>
      </c>
      <c r="J176" s="105">
        <f t="shared" si="16"/>
        <v>0</v>
      </c>
      <c r="K176" s="105">
        <f t="shared" si="17"/>
        <v>-65772</v>
      </c>
    </row>
    <row r="177" spans="1:14" x14ac:dyDescent="0.25">
      <c r="A177" s="105" t="s">
        <v>4096</v>
      </c>
      <c r="B177" s="18">
        <v>-43300</v>
      </c>
      <c r="C177" s="18">
        <v>0</v>
      </c>
      <c r="D177" s="18">
        <f t="shared" si="18"/>
        <v>-43300</v>
      </c>
      <c r="E177" s="105" t="s">
        <v>4098</v>
      </c>
      <c r="F177" s="105">
        <v>3</v>
      </c>
      <c r="G177" s="36">
        <f t="shared" si="14"/>
        <v>6</v>
      </c>
      <c r="H177" s="105">
        <f t="shared" si="15"/>
        <v>0</v>
      </c>
      <c r="I177" s="105">
        <f t="shared" si="13"/>
        <v>-259800</v>
      </c>
      <c r="J177" s="105">
        <f t="shared" si="16"/>
        <v>0</v>
      </c>
      <c r="K177" s="105">
        <f t="shared" si="17"/>
        <v>-259800</v>
      </c>
    </row>
    <row r="178" spans="1:14" x14ac:dyDescent="0.25">
      <c r="A178" s="105" t="s">
        <v>3724</v>
      </c>
      <c r="B178" s="18">
        <v>360000</v>
      </c>
      <c r="C178" s="18">
        <v>0</v>
      </c>
      <c r="D178" s="18">
        <f t="shared" si="18"/>
        <v>360000</v>
      </c>
      <c r="E178" s="105" t="s">
        <v>4110</v>
      </c>
      <c r="F178" s="105">
        <v>2</v>
      </c>
      <c r="G178" s="36">
        <f t="shared" si="14"/>
        <v>3</v>
      </c>
      <c r="H178" s="105">
        <f t="shared" si="15"/>
        <v>1</v>
      </c>
      <c r="I178" s="105">
        <f t="shared" si="13"/>
        <v>720000</v>
      </c>
      <c r="J178" s="105">
        <f t="shared" si="16"/>
        <v>0</v>
      </c>
      <c r="K178" s="105">
        <f t="shared" si="17"/>
        <v>720000</v>
      </c>
    </row>
    <row r="179" spans="1:14" x14ac:dyDescent="0.25">
      <c r="A179" s="105" t="s">
        <v>4113</v>
      </c>
      <c r="B179" s="18">
        <v>3000000</v>
      </c>
      <c r="C179" s="18">
        <v>0</v>
      </c>
      <c r="D179" s="18">
        <f t="shared" si="18"/>
        <v>3000000</v>
      </c>
      <c r="E179" s="105" t="s">
        <v>4114</v>
      </c>
      <c r="F179" s="105">
        <v>1</v>
      </c>
      <c r="G179" s="36">
        <f t="shared" si="14"/>
        <v>1</v>
      </c>
      <c r="H179" s="105">
        <f t="shared" si="15"/>
        <v>1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 x14ac:dyDescent="0.25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 x14ac:dyDescent="0.25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 x14ac:dyDescent="0.25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 x14ac:dyDescent="0.25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 x14ac:dyDescent="0.25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 x14ac:dyDescent="0.25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 x14ac:dyDescent="0.25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 x14ac:dyDescent="0.25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 x14ac:dyDescent="0.25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3371941</v>
      </c>
      <c r="C207" s="29">
        <f>SUM(C2:C205)</f>
        <v>7835443</v>
      </c>
      <c r="D207" s="29">
        <f>SUM(D2:D205)</f>
        <v>-4463502</v>
      </c>
      <c r="E207" s="11"/>
      <c r="F207" s="11"/>
      <c r="G207" s="11"/>
      <c r="H207" s="11"/>
      <c r="I207" s="29">
        <f>SUM(I2:I206)</f>
        <v>18770835483</v>
      </c>
      <c r="J207" s="29">
        <f>SUM(J2:J206)</f>
        <v>7809388554</v>
      </c>
      <c r="K207" s="29">
        <f>SUM(K2:K206)</f>
        <v>10961446929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21750678.427578215</v>
      </c>
      <c r="J210" s="29">
        <f>J207/G2</f>
        <v>9049117.6755504049</v>
      </c>
      <c r="K210" s="29">
        <f>K207/G2</f>
        <v>12701560.75202781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-3266863</v>
      </c>
      <c r="G214" t="s">
        <v>25</v>
      </c>
      <c r="J214">
        <f>J207/I207*1448696</f>
        <v>602713.18082094472</v>
      </c>
      <c r="K214">
        <f>K207/I207*1448696</f>
        <v>845982.81917905528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1038</v>
      </c>
      <c r="B61" s="3">
        <v>4172</v>
      </c>
      <c r="C61" s="11" t="s">
        <v>1040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1044</v>
      </c>
      <c r="B62" s="3">
        <v>-161000</v>
      </c>
      <c r="C62" s="11" t="s">
        <v>1052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1057</v>
      </c>
      <c r="B63" s="3">
        <v>-149505</v>
      </c>
      <c r="C63" s="11" t="s">
        <v>1058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1070</v>
      </c>
      <c r="B64" s="3">
        <v>-4940</v>
      </c>
      <c r="C64" s="11" t="s">
        <v>1074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1177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1180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1229</v>
      </c>
      <c r="B67" s="3">
        <v>1000000</v>
      </c>
      <c r="C67" s="11" t="s">
        <v>1234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1245</v>
      </c>
      <c r="B68" s="3">
        <v>-910500</v>
      </c>
      <c r="C68" s="11" t="s">
        <v>1246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1259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1260</v>
      </c>
      <c r="B70" s="119">
        <v>-75000</v>
      </c>
      <c r="C70" s="105" t="s">
        <v>1262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3709</v>
      </c>
      <c r="B71" s="119">
        <v>1471</v>
      </c>
      <c r="C71" s="105" t="s">
        <v>3712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1014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1038</v>
      </c>
      <c r="B6" s="18">
        <v>252436</v>
      </c>
      <c r="C6" s="18">
        <v>65510</v>
      </c>
      <c r="D6" s="3">
        <f t="shared" si="0"/>
        <v>186926</v>
      </c>
      <c r="E6" s="19" t="s">
        <v>1040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1030</v>
      </c>
    </row>
    <row r="36" spans="4:17" x14ac:dyDescent="0.25">
      <c r="D36" s="42">
        <v>245000</v>
      </c>
      <c r="E36" s="41" t="s">
        <v>1030</v>
      </c>
    </row>
    <row r="37" spans="4:17" x14ac:dyDescent="0.25">
      <c r="D37" s="7">
        <v>-25000</v>
      </c>
      <c r="E37" s="41" t="s">
        <v>1034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1084</v>
      </c>
      <c r="B4" s="18">
        <v>-52000000</v>
      </c>
      <c r="C4" s="18">
        <v>0</v>
      </c>
      <c r="D4" s="3">
        <f t="shared" si="0"/>
        <v>-52000000</v>
      </c>
      <c r="E4" s="11" t="s">
        <v>1088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1130</v>
      </c>
      <c r="B5" s="18">
        <v>-8000000</v>
      </c>
      <c r="C5" s="18">
        <v>-6772131</v>
      </c>
      <c r="D5" s="3">
        <f t="shared" si="0"/>
        <v>-1227869</v>
      </c>
      <c r="E5" s="20" t="s">
        <v>1014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1130</v>
      </c>
      <c r="B6" s="18">
        <v>-31230</v>
      </c>
      <c r="C6" s="18">
        <v>0</v>
      </c>
      <c r="D6" s="3">
        <f t="shared" si="0"/>
        <v>-31230</v>
      </c>
      <c r="E6" s="19" t="s">
        <v>1131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1177</v>
      </c>
      <c r="B7" s="39">
        <v>135087</v>
      </c>
      <c r="C7" s="39">
        <v>41130</v>
      </c>
      <c r="D7" s="35">
        <f t="shared" si="0"/>
        <v>93957</v>
      </c>
      <c r="E7" s="5" t="s">
        <v>1186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1080</v>
      </c>
      <c r="G31" s="9" t="s">
        <v>1041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1056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1079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1110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1138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1139</v>
      </c>
    </row>
    <row r="37" spans="4:17" x14ac:dyDescent="0.25">
      <c r="D37" s="7">
        <v>-65500</v>
      </c>
      <c r="E37" s="41" t="s">
        <v>1154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1177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1188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1078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1207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1207</v>
      </c>
      <c r="B5" s="18">
        <v>-247840</v>
      </c>
      <c r="C5" s="18">
        <v>0</v>
      </c>
      <c r="D5" s="119">
        <f t="shared" si="0"/>
        <v>-247840</v>
      </c>
      <c r="E5" s="20" t="s">
        <v>1210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1213</v>
      </c>
      <c r="B6" s="18">
        <v>-162340</v>
      </c>
      <c r="C6" s="18">
        <v>0</v>
      </c>
      <c r="D6" s="119">
        <f t="shared" si="0"/>
        <v>-162340</v>
      </c>
      <c r="E6" s="19" t="s">
        <v>1216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1213</v>
      </c>
      <c r="B7" s="18">
        <v>-3000900</v>
      </c>
      <c r="C7" s="18">
        <v>0</v>
      </c>
      <c r="D7" s="119">
        <f t="shared" si="0"/>
        <v>-3000900</v>
      </c>
      <c r="E7" s="19" t="s">
        <v>1217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1229</v>
      </c>
      <c r="B8" s="18">
        <v>-1000500</v>
      </c>
      <c r="C8" s="18">
        <v>0</v>
      </c>
      <c r="D8" s="119">
        <f t="shared" si="0"/>
        <v>-1000500</v>
      </c>
      <c r="E8" s="19" t="s">
        <v>1231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1241</v>
      </c>
      <c r="B9" s="18">
        <v>-100000</v>
      </c>
      <c r="C9" s="18">
        <v>0</v>
      </c>
      <c r="D9" s="119">
        <f t="shared" si="0"/>
        <v>-100000</v>
      </c>
      <c r="E9" s="21" t="s">
        <v>1242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1245</v>
      </c>
      <c r="B10" s="18">
        <v>-2000000</v>
      </c>
      <c r="C10" s="18">
        <v>0</v>
      </c>
      <c r="D10" s="119">
        <f t="shared" si="0"/>
        <v>-2000000</v>
      </c>
      <c r="E10" s="19" t="s">
        <v>1119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1245</v>
      </c>
      <c r="B11" s="18">
        <v>-1000500</v>
      </c>
      <c r="C11" s="18">
        <v>0</v>
      </c>
      <c r="D11" s="119">
        <f t="shared" si="0"/>
        <v>-1000500</v>
      </c>
      <c r="E11" s="19" t="s">
        <v>1253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1260</v>
      </c>
      <c r="B12" s="18">
        <v>-5000</v>
      </c>
      <c r="C12" s="18">
        <v>0</v>
      </c>
      <c r="D12" s="119">
        <f t="shared" si="0"/>
        <v>-5000</v>
      </c>
      <c r="E12" s="20" t="s">
        <v>1242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3703</v>
      </c>
      <c r="B13" s="18">
        <v>3000000</v>
      </c>
      <c r="C13" s="18">
        <v>0</v>
      </c>
      <c r="D13" s="119">
        <f t="shared" si="0"/>
        <v>3000000</v>
      </c>
      <c r="E13" s="20" t="s">
        <v>3706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3707</v>
      </c>
      <c r="B14" s="18">
        <v>3000000</v>
      </c>
      <c r="C14" s="18">
        <v>0</v>
      </c>
      <c r="D14" s="119">
        <f t="shared" si="0"/>
        <v>3000000</v>
      </c>
      <c r="E14" s="20" t="s">
        <v>3706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3709</v>
      </c>
      <c r="B15" s="39">
        <v>20314</v>
      </c>
      <c r="C15" s="39">
        <v>59842</v>
      </c>
      <c r="D15" s="35">
        <f t="shared" si="0"/>
        <v>-39528</v>
      </c>
      <c r="E15" s="23" t="s">
        <v>3712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1182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1183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1191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1201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1202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1206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1208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1211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1218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1223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1226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1227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1228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1232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1233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1233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1240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1243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1250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1252</v>
      </c>
    </row>
    <row r="51" spans="1:18" x14ac:dyDescent="0.25">
      <c r="D51" s="120">
        <v>1000000</v>
      </c>
      <c r="E51" s="41" t="s">
        <v>1254</v>
      </c>
    </row>
    <row r="52" spans="1:18" x14ac:dyDescent="0.25">
      <c r="D52" s="120">
        <v>910500</v>
      </c>
      <c r="E52" s="41" t="s">
        <v>1265</v>
      </c>
    </row>
    <row r="53" spans="1:18" x14ac:dyDescent="0.25">
      <c r="D53" s="120">
        <v>-300000</v>
      </c>
      <c r="E53" s="41" t="s">
        <v>1268</v>
      </c>
    </row>
    <row r="54" spans="1:18" x14ac:dyDescent="0.25">
      <c r="D54" s="120">
        <v>-58500</v>
      </c>
      <c r="E54" s="41" t="s">
        <v>1269</v>
      </c>
    </row>
    <row r="55" spans="1:18" x14ac:dyDescent="0.25">
      <c r="D55" s="120">
        <v>-1500000</v>
      </c>
      <c r="E55" s="41" t="s">
        <v>1272</v>
      </c>
    </row>
    <row r="56" spans="1:18" x14ac:dyDescent="0.25">
      <c r="D56" s="120">
        <v>-61000</v>
      </c>
      <c r="E56" s="41" t="s">
        <v>1276</v>
      </c>
    </row>
    <row r="57" spans="1:18" x14ac:dyDescent="0.25">
      <c r="D57" s="120">
        <v>1000000</v>
      </c>
      <c r="E57" s="41" t="s">
        <v>3695</v>
      </c>
    </row>
    <row r="58" spans="1:18" x14ac:dyDescent="0.25">
      <c r="D58" s="120">
        <v>200000</v>
      </c>
      <c r="E58" s="41" t="s">
        <v>3705</v>
      </c>
    </row>
    <row r="59" spans="1:18" x14ac:dyDescent="0.25">
      <c r="D59" s="120">
        <v>3000000</v>
      </c>
      <c r="E59" s="41" t="s">
        <v>3710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3709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3732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3733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3810</v>
      </c>
      <c r="B4" s="18">
        <v>-3000900</v>
      </c>
      <c r="C4" s="18">
        <v>0</v>
      </c>
      <c r="D4" s="119">
        <f t="shared" si="0"/>
        <v>-3000900</v>
      </c>
      <c r="E4" s="105" t="s">
        <v>3812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3830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1213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1213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1229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1241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1245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1233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3735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3736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3740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3741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3748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3744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3747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3750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3798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3800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3801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3809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3817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3829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3828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3834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3835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3836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3837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3838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3840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3841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3845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3830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3966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3930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3971</v>
      </c>
      <c r="B4" s="18">
        <v>-5000000</v>
      </c>
      <c r="C4" s="18">
        <v>0</v>
      </c>
      <c r="D4" s="119">
        <f t="shared" si="0"/>
        <v>-5000000</v>
      </c>
      <c r="E4" s="105" t="s">
        <v>3972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4004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1213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1213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1229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1241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1245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1245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1260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3703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3707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3709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3918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3922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3923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3926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3929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3931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3932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3935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3936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3937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3940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3941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3947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3948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3949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3950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3955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3960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3961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3965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3968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3970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3973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3979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3981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3983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3987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3989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3990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3705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4000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4001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1018</v>
      </c>
      <c r="S1" s="105" t="s">
        <v>38</v>
      </c>
      <c r="T1" s="11" t="s">
        <v>960</v>
      </c>
      <c r="U1" s="74" t="s">
        <v>1035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1024</v>
      </c>
      <c r="AG3" s="113" t="s">
        <v>1025</v>
      </c>
      <c r="AH3" s="113" t="s">
        <v>1132</v>
      </c>
      <c r="AI3" s="113" t="s">
        <v>1026</v>
      </c>
      <c r="AJ3" s="113" t="s">
        <v>1027</v>
      </c>
      <c r="AK3" s="113" t="s">
        <v>1133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3745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1021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1032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1032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1011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1011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1094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1028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1029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1032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1059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1032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1060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1032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1032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1032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1032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1069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1021</v>
      </c>
      <c r="B30" s="78" t="s">
        <v>1011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1021</v>
      </c>
      <c r="B31" s="78" t="s">
        <v>1011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1021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1021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1021</v>
      </c>
      <c r="B34" s="78" t="s">
        <v>1011</v>
      </c>
      <c r="C34" s="78">
        <v>140</v>
      </c>
      <c r="D34" s="78" t="s">
        <v>1023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1021</v>
      </c>
      <c r="B35" s="78" t="s">
        <v>1011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1032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1032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1032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1032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1032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1069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1032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1070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1120</v>
      </c>
      <c r="B44" s="124" t="s">
        <v>1135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1136</v>
      </c>
      <c r="U44" s="76"/>
    </row>
    <row r="45" spans="1:26" x14ac:dyDescent="0.25">
      <c r="A45" s="124" t="s">
        <v>1120</v>
      </c>
      <c r="B45" s="124" t="s">
        <v>1137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1120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3745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3745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3794</v>
      </c>
      <c r="B62" s="82" t="s">
        <v>1093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1019</v>
      </c>
      <c r="R71" s="11" t="s">
        <v>1020</v>
      </c>
      <c r="S71" s="105" t="s">
        <v>1134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abSelected="1" zoomScaleNormal="100" workbookViewId="0">
      <pane xSplit="1" topLeftCell="B1" activePane="topRight" state="frozen"/>
      <selection pane="topRight" activeCell="F30" sqref="F30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1055</v>
      </c>
      <c r="M1" s="11" t="s">
        <v>972</v>
      </c>
      <c r="N1" s="11" t="s">
        <v>1045</v>
      </c>
      <c r="O1" s="11" t="s">
        <v>974</v>
      </c>
      <c r="P1" s="11" t="s">
        <v>1051</v>
      </c>
      <c r="Q1" s="11" t="s">
        <v>975</v>
      </c>
      <c r="R1" s="11" t="s">
        <v>1004</v>
      </c>
      <c r="S1" s="11" t="s">
        <v>986</v>
      </c>
      <c r="T1" s="11" t="s">
        <v>945</v>
      </c>
      <c r="U1" s="69" t="s">
        <v>1050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1009</v>
      </c>
      <c r="AE1" t="s">
        <v>1010</v>
      </c>
      <c r="AI1">
        <v>0.51500000000000001</v>
      </c>
      <c r="AJ1" t="s">
        <v>1036</v>
      </c>
      <c r="AL1" t="s">
        <v>1046</v>
      </c>
      <c r="AM1" t="s">
        <v>1047</v>
      </c>
    </row>
    <row r="2" spans="1:39" x14ac:dyDescent="0.25">
      <c r="A2" s="90" t="s">
        <v>969</v>
      </c>
      <c r="B2" s="91">
        <f>$S2/(1+($B$1-$O2+$P2)/36500)^$N2</f>
        <v>71853.899903303522</v>
      </c>
      <c r="C2" s="91">
        <f t="shared" ref="C2:C27" si="0">$S2/(1+($AC$3-$O2+$P2)/36500)^$N2</f>
        <v>77328.768881137556</v>
      </c>
      <c r="D2" s="91">
        <f t="shared" ref="D2:D27" si="1">$S2/(1+($AC$4-$O2+$P2)/36500)^$N2</f>
        <v>77803.457165346001</v>
      </c>
      <c r="E2" s="91">
        <f t="shared" ref="E2:E27" si="2">$S2/(1+($AC$5-$O2+$P2)/36500)^$N2</f>
        <v>78281.065917078158</v>
      </c>
      <c r="F2" s="91">
        <f t="shared" ref="F2:F27" si="3">$S2/(1+($AC$6-$O2+$P2)/36500)^$N2</f>
        <v>78761.613144554532</v>
      </c>
      <c r="G2" s="91">
        <f t="shared" ref="G2:G27" si="4">$S2/(1+($AC$7-$O2+$P2)/36500)^$N2</f>
        <v>79245.116967264024</v>
      </c>
      <c r="H2" s="91">
        <f t="shared" ref="H2:H27" si="5">$S2/(1+($AC$8-$O2+$P2)/36500)^$N2</f>
        <v>79731.595616698978</v>
      </c>
      <c r="I2" s="91">
        <f t="shared" ref="I2:I27" si="6">$S2/(1+($AC$9-$O2+$P2)/36500)^$N2</f>
        <v>80221.067437007674</v>
      </c>
      <c r="J2" s="91">
        <f t="shared" ref="J2:J27" si="7">$S2/(1+($AC$10-$O2+$P2)/36500)^$N2</f>
        <v>80713.550885718141</v>
      </c>
      <c r="K2" s="91">
        <f t="shared" ref="K2:K27" si="8">$S2/(1+($AC$11-$O2+$P2)/36500)^$N2</f>
        <v>81209.064534446617</v>
      </c>
      <c r="L2" s="91">
        <f t="shared" ref="L2:L27" si="9">$S2/(1+($AC$5-$O2+$P2)/36500)^$N2</f>
        <v>78281.065917078158</v>
      </c>
      <c r="M2" s="90" t="s">
        <v>995</v>
      </c>
      <c r="N2" s="90">
        <f>601-$AD$19</f>
        <v>447</v>
      </c>
      <c r="O2" s="90">
        <v>0</v>
      </c>
      <c r="P2" s="90">
        <v>0</v>
      </c>
      <c r="Q2" s="90">
        <v>0</v>
      </c>
      <c r="R2" s="90">
        <f t="shared" ref="R2:R27" si="10">N2/30.5</f>
        <v>14.655737704918034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1037</v>
      </c>
    </row>
    <row r="3" spans="1:39" x14ac:dyDescent="0.25">
      <c r="A3" s="94" t="s">
        <v>970</v>
      </c>
      <c r="B3" s="91">
        <f t="shared" ref="B3:B27" si="13">$S3/(1+($B$1-$O3+$P3)/36500)^$N3</f>
        <v>73357.119453354739</v>
      </c>
      <c r="C3" s="95">
        <f t="shared" si="0"/>
        <v>78584.227764068477</v>
      </c>
      <c r="D3" s="95">
        <f t="shared" si="1"/>
        <v>79036.31888996037</v>
      </c>
      <c r="E3" s="95">
        <f t="shared" si="2"/>
        <v>79491.017116524337</v>
      </c>
      <c r="F3" s="95">
        <f t="shared" si="3"/>
        <v>79948.337514295868</v>
      </c>
      <c r="G3" s="95">
        <f t="shared" si="4"/>
        <v>80408.295241113126</v>
      </c>
      <c r="H3" s="95">
        <f t="shared" si="5"/>
        <v>80870.905542667548</v>
      </c>
      <c r="I3" s="95">
        <f t="shared" si="6"/>
        <v>81336.183752975077</v>
      </c>
      <c r="J3" s="95">
        <f t="shared" si="7"/>
        <v>81804.145294913716</v>
      </c>
      <c r="K3" s="95">
        <f t="shared" si="8"/>
        <v>82274.805680745645</v>
      </c>
      <c r="L3" s="95">
        <f t="shared" si="9"/>
        <v>79491.017116524337</v>
      </c>
      <c r="M3" s="94" t="s">
        <v>996</v>
      </c>
      <c r="N3" s="94">
        <f>573-$AD$19</f>
        <v>419</v>
      </c>
      <c r="O3" s="94">
        <v>0</v>
      </c>
      <c r="P3" s="94">
        <v>0</v>
      </c>
      <c r="Q3" s="94">
        <v>0</v>
      </c>
      <c r="R3" s="94">
        <f t="shared" si="10"/>
        <v>13.737704918032787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971</v>
      </c>
      <c r="B4" s="91">
        <f t="shared" si="13"/>
        <v>90700.461690811091</v>
      </c>
      <c r="C4" s="91">
        <f t="shared" si="0"/>
        <v>92688.723435359861</v>
      </c>
      <c r="D4" s="91">
        <f t="shared" si="1"/>
        <v>92856.381185712831</v>
      </c>
      <c r="E4" s="91">
        <f t="shared" si="2"/>
        <v>93024.344501359636</v>
      </c>
      <c r="F4" s="91">
        <f t="shared" si="3"/>
        <v>93192.613943408287</v>
      </c>
      <c r="G4" s="91">
        <f t="shared" si="4"/>
        <v>93361.190073996826</v>
      </c>
      <c r="H4" s="91">
        <f t="shared" si="5"/>
        <v>93530.073456311322</v>
      </c>
      <c r="I4" s="91">
        <f t="shared" si="6"/>
        <v>93699.264654573417</v>
      </c>
      <c r="J4" s="91">
        <f t="shared" si="7"/>
        <v>93868.764234051356</v>
      </c>
      <c r="K4" s="91">
        <f t="shared" si="8"/>
        <v>94038.572761063901</v>
      </c>
      <c r="L4" s="91">
        <f t="shared" si="9"/>
        <v>93024.344501359636</v>
      </c>
      <c r="M4" s="90" t="s">
        <v>998</v>
      </c>
      <c r="N4" s="90">
        <f>286-$AD$19</f>
        <v>132</v>
      </c>
      <c r="O4" s="90">
        <v>0</v>
      </c>
      <c r="P4" s="90">
        <v>0</v>
      </c>
      <c r="Q4" s="90">
        <v>0</v>
      </c>
      <c r="R4" s="90">
        <f t="shared" si="10"/>
        <v>4.3278688524590168</v>
      </c>
      <c r="S4" s="91">
        <v>100000</v>
      </c>
      <c r="T4" s="91">
        <v>86700</v>
      </c>
      <c r="U4" s="91">
        <f t="shared" si="11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987</v>
      </c>
      <c r="B5" s="91">
        <f t="shared" si="13"/>
        <v>79221.096082450385</v>
      </c>
      <c r="C5" s="93">
        <f t="shared" si="0"/>
        <v>83428.453877742548</v>
      </c>
      <c r="D5" s="93">
        <f t="shared" si="1"/>
        <v>83789.025774910406</v>
      </c>
      <c r="E5" s="93">
        <f t="shared" si="2"/>
        <v>84151.161007035116</v>
      </c>
      <c r="F5" s="93">
        <f t="shared" si="3"/>
        <v>84514.86637383404</v>
      </c>
      <c r="G5" s="93">
        <f t="shared" si="4"/>
        <v>84880.148704676365</v>
      </c>
      <c r="H5" s="93">
        <f t="shared" si="5"/>
        <v>85247.014858747309</v>
      </c>
      <c r="I5" s="93">
        <f t="shared" si="6"/>
        <v>85615.471725147727</v>
      </c>
      <c r="J5" s="93">
        <f t="shared" si="7"/>
        <v>85985.526223044595</v>
      </c>
      <c r="K5" s="93">
        <f t="shared" si="8"/>
        <v>86357.185301807083</v>
      </c>
      <c r="L5" s="93">
        <f t="shared" si="9"/>
        <v>84151.161007035116</v>
      </c>
      <c r="M5" s="92" t="s">
        <v>997</v>
      </c>
      <c r="N5" s="92">
        <f>469-$AD$19</f>
        <v>315</v>
      </c>
      <c r="O5" s="92">
        <v>0</v>
      </c>
      <c r="P5" s="92">
        <v>0</v>
      </c>
      <c r="Q5" s="92">
        <v>0</v>
      </c>
      <c r="R5" s="92">
        <f t="shared" si="10"/>
        <v>10.327868852459016</v>
      </c>
      <c r="S5" s="93">
        <v>100000</v>
      </c>
      <c r="T5" s="93">
        <v>78300</v>
      </c>
      <c r="U5" s="93">
        <f t="shared" si="11"/>
        <v>100000.00000000001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953</v>
      </c>
      <c r="AC5">
        <v>20</v>
      </c>
    </row>
    <row r="6" spans="1:39" x14ac:dyDescent="0.25">
      <c r="A6" s="94" t="s">
        <v>988</v>
      </c>
      <c r="B6" s="91">
        <f t="shared" si="13"/>
        <v>79221.096082450385</v>
      </c>
      <c r="C6" s="95">
        <f t="shared" si="0"/>
        <v>83428.453877742548</v>
      </c>
      <c r="D6" s="95">
        <f t="shared" si="1"/>
        <v>83789.025774910406</v>
      </c>
      <c r="E6" s="95">
        <f t="shared" si="2"/>
        <v>84151.161007035116</v>
      </c>
      <c r="F6" s="95">
        <f t="shared" si="3"/>
        <v>84514.86637383404</v>
      </c>
      <c r="G6" s="95">
        <f t="shared" si="4"/>
        <v>84880.148704676365</v>
      </c>
      <c r="H6" s="95">
        <f t="shared" si="5"/>
        <v>85247.014858747309</v>
      </c>
      <c r="I6" s="95">
        <f t="shared" si="6"/>
        <v>85615.471725147727</v>
      </c>
      <c r="J6" s="95">
        <f t="shared" si="7"/>
        <v>85985.526223044595</v>
      </c>
      <c r="K6" s="95">
        <f t="shared" si="8"/>
        <v>86357.185301807083</v>
      </c>
      <c r="L6" s="95">
        <f t="shared" si="9"/>
        <v>84151.161007035116</v>
      </c>
      <c r="M6" s="94" t="s">
        <v>997</v>
      </c>
      <c r="N6" s="94">
        <f>469-$AD$19</f>
        <v>315</v>
      </c>
      <c r="O6" s="94">
        <v>0</v>
      </c>
      <c r="P6" s="94">
        <v>0</v>
      </c>
      <c r="Q6" s="94">
        <v>0</v>
      </c>
      <c r="R6" s="94">
        <f t="shared" si="10"/>
        <v>10.327868852459016</v>
      </c>
      <c r="S6" s="95">
        <v>100000</v>
      </c>
      <c r="T6" s="95">
        <v>77700</v>
      </c>
      <c r="U6" s="95">
        <f t="shared" si="11"/>
        <v>100000.00000000001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989</v>
      </c>
      <c r="B7" s="91">
        <f t="shared" si="13"/>
        <v>70746.734896933427</v>
      </c>
      <c r="C7" s="91">
        <f t="shared" si="0"/>
        <v>76400.354846787028</v>
      </c>
      <c r="D7" s="91">
        <f t="shared" si="1"/>
        <v>76891.447706071616</v>
      </c>
      <c r="E7" s="91">
        <f t="shared" si="2"/>
        <v>77385.704043320264</v>
      </c>
      <c r="F7" s="91">
        <f t="shared" si="3"/>
        <v>77883.144280483757</v>
      </c>
      <c r="G7" s="91">
        <f t="shared" si="4"/>
        <v>78383.788971606045</v>
      </c>
      <c r="H7" s="91">
        <f t="shared" si="5"/>
        <v>78887.658803728176</v>
      </c>
      <c r="I7" s="91">
        <f t="shared" si="6"/>
        <v>79394.774597707918</v>
      </c>
      <c r="J7" s="91">
        <f t="shared" si="7"/>
        <v>79905.157309114249</v>
      </c>
      <c r="K7" s="91">
        <f t="shared" si="8"/>
        <v>80418.82802910704</v>
      </c>
      <c r="L7" s="91">
        <f t="shared" si="9"/>
        <v>77385.704043320264</v>
      </c>
      <c r="M7" s="90" t="s">
        <v>1001</v>
      </c>
      <c r="N7" s="90">
        <f>622-$AD$19</f>
        <v>468</v>
      </c>
      <c r="O7" s="90">
        <v>0</v>
      </c>
      <c r="P7" s="90">
        <v>0</v>
      </c>
      <c r="Q7" s="90">
        <v>0</v>
      </c>
      <c r="R7" s="90">
        <f t="shared" si="10"/>
        <v>15.344262295081966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990</v>
      </c>
      <c r="B8" s="91">
        <f t="shared" si="13"/>
        <v>67526.551358862955</v>
      </c>
      <c r="C8" s="95">
        <f t="shared" si="0"/>
        <v>73681.458625194078</v>
      </c>
      <c r="D8" s="95">
        <f t="shared" si="1"/>
        <v>74219.062802244152</v>
      </c>
      <c r="E8" s="95">
        <f t="shared" si="2"/>
        <v>74760.596957378933</v>
      </c>
      <c r="F8" s="95">
        <f t="shared" si="3"/>
        <v>75306.0898738166</v>
      </c>
      <c r="G8" s="95">
        <f t="shared" si="4"/>
        <v>75855.570545956449</v>
      </c>
      <c r="H8" s="95">
        <f t="shared" si="5"/>
        <v>76409.068180983391</v>
      </c>
      <c r="I8" s="95">
        <f t="shared" si="6"/>
        <v>76966.612200385644</v>
      </c>
      <c r="J8" s="95">
        <f t="shared" si="7"/>
        <v>77528.232241559686</v>
      </c>
      <c r="K8" s="95">
        <f t="shared" si="8"/>
        <v>78093.958159404749</v>
      </c>
      <c r="L8" s="95">
        <f t="shared" si="9"/>
        <v>74760.596957378933</v>
      </c>
      <c r="M8" s="94" t="s">
        <v>1002</v>
      </c>
      <c r="N8" s="94">
        <f>685-$AD$19</f>
        <v>531</v>
      </c>
      <c r="O8" s="94">
        <v>0</v>
      </c>
      <c r="P8" s="94">
        <v>0</v>
      </c>
      <c r="Q8" s="94">
        <v>0</v>
      </c>
      <c r="R8" s="94">
        <f t="shared" si="10"/>
        <v>17.409836065573771</v>
      </c>
      <c r="S8" s="95">
        <v>100000</v>
      </c>
      <c r="T8" s="95">
        <v>70000</v>
      </c>
      <c r="U8" s="95">
        <f t="shared" si="11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991</v>
      </c>
      <c r="B9" s="91">
        <f t="shared" si="13"/>
        <v>68939.240611454414</v>
      </c>
      <c r="C9" s="91">
        <f t="shared" si="0"/>
        <v>74877.702184696464</v>
      </c>
      <c r="D9" s="91">
        <f t="shared" si="1"/>
        <v>75395.12676006004</v>
      </c>
      <c r="E9" s="91">
        <f t="shared" si="2"/>
        <v>75916.134032662376</v>
      </c>
      <c r="F9" s="91">
        <f t="shared" si="3"/>
        <v>76440.748859014959</v>
      </c>
      <c r="G9" s="91">
        <f t="shared" si="4"/>
        <v>76968.996268401039</v>
      </c>
      <c r="H9" s="91">
        <f t="shared" si="5"/>
        <v>77500.901464128838</v>
      </c>
      <c r="I9" s="91">
        <f t="shared" si="6"/>
        <v>78036.489824699005</v>
      </c>
      <c r="J9" s="91">
        <f t="shared" si="7"/>
        <v>78575.786905053275</v>
      </c>
      <c r="K9" s="91">
        <f t="shared" si="8"/>
        <v>79118.818437810347</v>
      </c>
      <c r="L9" s="91">
        <f t="shared" si="9"/>
        <v>75916.134032662376</v>
      </c>
      <c r="M9" s="90" t="s">
        <v>1003</v>
      </c>
      <c r="N9" s="90">
        <f>657-$AD$19</f>
        <v>503</v>
      </c>
      <c r="O9" s="90">
        <v>0</v>
      </c>
      <c r="P9" s="90">
        <v>0</v>
      </c>
      <c r="Q9" s="90">
        <v>0</v>
      </c>
      <c r="R9" s="90">
        <f t="shared" si="10"/>
        <v>16.491803278688526</v>
      </c>
      <c r="S9" s="91">
        <v>100000</v>
      </c>
      <c r="T9" s="91">
        <v>70700</v>
      </c>
      <c r="U9" s="91">
        <f t="shared" si="11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992</v>
      </c>
      <c r="B10" s="91">
        <f t="shared" si="13"/>
        <v>68939.240611454414</v>
      </c>
      <c r="C10" s="93">
        <f t="shared" si="0"/>
        <v>74877.702184696464</v>
      </c>
      <c r="D10" s="93">
        <f t="shared" si="1"/>
        <v>75395.12676006004</v>
      </c>
      <c r="E10" s="93">
        <f t="shared" si="2"/>
        <v>75916.134032662376</v>
      </c>
      <c r="F10" s="93">
        <f t="shared" si="3"/>
        <v>76440.748859014959</v>
      </c>
      <c r="G10" s="93">
        <f t="shared" si="4"/>
        <v>76968.996268401039</v>
      </c>
      <c r="H10" s="93">
        <f t="shared" si="5"/>
        <v>77500.901464128838</v>
      </c>
      <c r="I10" s="93">
        <f t="shared" si="6"/>
        <v>78036.489824699005</v>
      </c>
      <c r="J10" s="93">
        <f t="shared" si="7"/>
        <v>78575.786905053275</v>
      </c>
      <c r="K10" s="93">
        <f t="shared" si="8"/>
        <v>79118.818437810347</v>
      </c>
      <c r="L10" s="93">
        <f t="shared" si="9"/>
        <v>75916.134032662376</v>
      </c>
      <c r="M10" s="92" t="s">
        <v>1003</v>
      </c>
      <c r="N10" s="92">
        <f>657-$AD$19</f>
        <v>503</v>
      </c>
      <c r="O10" s="92">
        <v>0</v>
      </c>
      <c r="P10" s="92">
        <v>0</v>
      </c>
      <c r="Q10" s="92">
        <v>0</v>
      </c>
      <c r="R10" s="92">
        <f t="shared" si="10"/>
        <v>16.491803278688526</v>
      </c>
      <c r="S10" s="93">
        <v>100000</v>
      </c>
      <c r="T10" s="93">
        <v>71000</v>
      </c>
      <c r="U10" s="93">
        <f t="shared" si="11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993</v>
      </c>
      <c r="B11" s="91">
        <f t="shared" si="13"/>
        <v>71853.899903303522</v>
      </c>
      <c r="C11" s="95">
        <f t="shared" si="0"/>
        <v>77328.768881137556</v>
      </c>
      <c r="D11" s="95">
        <f t="shared" si="1"/>
        <v>77803.457165346001</v>
      </c>
      <c r="E11" s="95">
        <f t="shared" si="2"/>
        <v>78281.065917078158</v>
      </c>
      <c r="F11" s="95">
        <f t="shared" si="3"/>
        <v>78761.613144554532</v>
      </c>
      <c r="G11" s="95">
        <f>$S11/(1+($AC$7-$O11+$P11)/36500)^$N11</f>
        <v>79245.116967264024</v>
      </c>
      <c r="H11" s="95">
        <f t="shared" si="5"/>
        <v>79731.595616698978</v>
      </c>
      <c r="I11" s="95">
        <f t="shared" si="6"/>
        <v>80221.067437007674</v>
      </c>
      <c r="J11" s="95">
        <f t="shared" si="7"/>
        <v>80713.550885718141</v>
      </c>
      <c r="K11" s="95">
        <f t="shared" si="8"/>
        <v>81209.064534446617</v>
      </c>
      <c r="L11" s="95">
        <f t="shared" si="9"/>
        <v>78281.065917078158</v>
      </c>
      <c r="M11" s="94" t="s">
        <v>995</v>
      </c>
      <c r="N11" s="94">
        <f>601-$AD$19</f>
        <v>447</v>
      </c>
      <c r="O11" s="94">
        <v>0</v>
      </c>
      <c r="P11" s="94">
        <v>0</v>
      </c>
      <c r="Q11" s="94">
        <v>0</v>
      </c>
      <c r="R11" s="94">
        <f t="shared" si="10"/>
        <v>14.655737704918034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72" t="s">
        <v>3890</v>
      </c>
      <c r="B12" s="91">
        <f t="shared" si="13"/>
        <v>76741.771403524137</v>
      </c>
      <c r="C12" s="174">
        <f t="shared" si="0"/>
        <v>81390.35792021385</v>
      </c>
      <c r="D12" s="174">
        <f t="shared" si="1"/>
        <v>81790.257589614819</v>
      </c>
      <c r="E12" s="174">
        <f t="shared" si="2"/>
        <v>82192.127623228167</v>
      </c>
      <c r="F12" s="174">
        <f t="shared" si="3"/>
        <v>82595.97775651206</v>
      </c>
      <c r="G12" s="174">
        <f t="shared" si="4"/>
        <v>83001.817773141971</v>
      </c>
      <c r="H12" s="174">
        <f t="shared" si="5"/>
        <v>83409.657505288895</v>
      </c>
      <c r="I12" s="174">
        <f t="shared" si="6"/>
        <v>83819.506833825639</v>
      </c>
      <c r="J12" s="174">
        <f t="shared" si="7"/>
        <v>84231.375688590531</v>
      </c>
      <c r="K12" s="174">
        <f t="shared" si="8"/>
        <v>84645.274048636085</v>
      </c>
      <c r="L12" s="174">
        <f t="shared" si="9"/>
        <v>82192.127623228167</v>
      </c>
      <c r="M12" s="172" t="s">
        <v>3891</v>
      </c>
      <c r="N12" s="172">
        <f>512-$AD$19</f>
        <v>358</v>
      </c>
      <c r="O12" s="172">
        <v>0</v>
      </c>
      <c r="P12" s="172">
        <v>0</v>
      </c>
      <c r="Q12" s="172">
        <v>0</v>
      </c>
      <c r="R12" s="172">
        <f t="shared" si="10"/>
        <v>11.737704918032787</v>
      </c>
      <c r="S12" s="174">
        <v>100000</v>
      </c>
      <c r="T12" s="174">
        <v>50000</v>
      </c>
      <c r="U12" s="174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3945</v>
      </c>
      <c r="B13" s="91">
        <f t="shared" si="13"/>
        <v>58372.723577923593</v>
      </c>
      <c r="C13" s="95">
        <f>$S13/(1+($AC$3-$O13+$P13)/36500)^$N13</f>
        <v>65788.254254242725</v>
      </c>
      <c r="D13" s="95">
        <f t="shared" si="1"/>
        <v>66447.240193989725</v>
      </c>
      <c r="E13" s="95">
        <f t="shared" si="2"/>
        <v>67112.836203665298</v>
      </c>
      <c r="F13" s="95">
        <f t="shared" si="3"/>
        <v>67785.108678573117</v>
      </c>
      <c r="G13" s="95">
        <f t="shared" si="4"/>
        <v>68464.124681819667</v>
      </c>
      <c r="H13" s="95">
        <f t="shared" si="5"/>
        <v>69149.951951104769</v>
      </c>
      <c r="I13" s="95">
        <f t="shared" si="6"/>
        <v>69842.658905458826</v>
      </c>
      <c r="J13" s="95">
        <f t="shared" si="7"/>
        <v>70542.314652141737</v>
      </c>
      <c r="K13" s="95">
        <f t="shared" si="8"/>
        <v>71248.988993584688</v>
      </c>
      <c r="L13" s="95">
        <f t="shared" si="9"/>
        <v>67112.836203665298</v>
      </c>
      <c r="M13" s="94" t="s">
        <v>3946</v>
      </c>
      <c r="N13" s="94">
        <f>882-$AD$19</f>
        <v>728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4003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1007</v>
      </c>
      <c r="B15" s="91">
        <f t="shared" si="13"/>
        <v>69845.416645313497</v>
      </c>
      <c r="C15" s="91">
        <f t="shared" si="0"/>
        <v>85675.853815726776</v>
      </c>
      <c r="D15" s="91">
        <f t="shared" si="1"/>
        <v>87147.007119025351</v>
      </c>
      <c r="E15" s="91">
        <f t="shared" si="2"/>
        <v>88643.44249436169</v>
      </c>
      <c r="F15" s="91">
        <f t="shared" si="3"/>
        <v>90165.594774544574</v>
      </c>
      <c r="G15" s="91">
        <f t="shared" si="4"/>
        <v>91713.906277377158</v>
      </c>
      <c r="H15" s="91">
        <f t="shared" si="5"/>
        <v>93288.826934533834</v>
      </c>
      <c r="I15" s="91">
        <f t="shared" si="6"/>
        <v>94890.814422585841</v>
      </c>
      <c r="J15" s="91">
        <f t="shared" si="7"/>
        <v>96520.33429673822</v>
      </c>
      <c r="K15" s="91">
        <f t="shared" si="8"/>
        <v>98177.860126238622</v>
      </c>
      <c r="L15" s="91">
        <f t="shared" si="9"/>
        <v>88643.44249436169</v>
      </c>
      <c r="M15" s="90" t="s">
        <v>1008</v>
      </c>
      <c r="N15" s="90">
        <f>1397-$AD$19</f>
        <v>1243</v>
      </c>
      <c r="O15" s="90">
        <v>17</v>
      </c>
      <c r="P15" s="90">
        <f>$AI$2</f>
        <v>0.54</v>
      </c>
      <c r="Q15" s="90">
        <v>6</v>
      </c>
      <c r="R15" s="90">
        <f t="shared" si="10"/>
        <v>40.754098360655739</v>
      </c>
      <c r="S15" s="91">
        <v>100000</v>
      </c>
      <c r="T15" s="91">
        <v>96000</v>
      </c>
      <c r="U15" s="91">
        <f t="shared" si="11"/>
        <v>175111.69100950987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964</v>
      </c>
      <c r="B16" s="91">
        <f t="shared" si="13"/>
        <v>92943.754947889815</v>
      </c>
      <c r="C16" s="93">
        <f t="shared" si="0"/>
        <v>99423.180956585493</v>
      </c>
      <c r="D16" s="93">
        <f>$S16/(1+($AC$4-$O16+$P16)/36500)^$N16</f>
        <v>99983.152107812595</v>
      </c>
      <c r="E16" s="93">
        <f t="shared" si="2"/>
        <v>100546.284863828</v>
      </c>
      <c r="F16" s="93">
        <f t="shared" si="3"/>
        <v>101112.59711878045</v>
      </c>
      <c r="G16" s="93">
        <f t="shared" si="4"/>
        <v>101682.10686833282</v>
      </c>
      <c r="H16" s="93">
        <f t="shared" si="5"/>
        <v>102254.8322102597</v>
      </c>
      <c r="I16" s="93">
        <f t="shared" si="6"/>
        <v>102830.79134500139</v>
      </c>
      <c r="J16" s="93">
        <f t="shared" si="7"/>
        <v>103410.00257628727</v>
      </c>
      <c r="K16" s="93">
        <f t="shared" si="8"/>
        <v>103992.48431169035</v>
      </c>
      <c r="L16" s="93">
        <f t="shared" si="9"/>
        <v>100546.284863828</v>
      </c>
      <c r="M16" s="92" t="s">
        <v>979</v>
      </c>
      <c r="N16" s="92">
        <f>564-$AD$19</f>
        <v>410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13.442622950819672</v>
      </c>
      <c r="S16" s="93">
        <v>100000</v>
      </c>
      <c r="T16" s="93">
        <v>100000</v>
      </c>
      <c r="U16" s="93">
        <f t="shared" si="11"/>
        <v>125859.98719005309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965</v>
      </c>
      <c r="B17" s="91">
        <f t="shared" si="13"/>
        <v>87398.813282680159</v>
      </c>
      <c r="C17" s="95">
        <f t="shared" si="0"/>
        <v>93752.385934048449</v>
      </c>
      <c r="D17" s="95">
        <f t="shared" si="1"/>
        <v>94302.300598871967</v>
      </c>
      <c r="E17" s="95">
        <f t="shared" si="2"/>
        <v>94855.448445544738</v>
      </c>
      <c r="F17" s="95">
        <f t="shared" si="3"/>
        <v>95411.8485279702</v>
      </c>
      <c r="G17" s="95">
        <f t="shared" si="4"/>
        <v>95971.520012643727</v>
      </c>
      <c r="H17" s="95">
        <f t="shared" si="5"/>
        <v>96534.482179247192</v>
      </c>
      <c r="I17" s="95">
        <f t="shared" si="6"/>
        <v>97100.754421372854</v>
      </c>
      <c r="J17" s="95">
        <f t="shared" si="7"/>
        <v>97670.356247180258</v>
      </c>
      <c r="K17" s="95">
        <f t="shared" si="8"/>
        <v>98243.307280048306</v>
      </c>
      <c r="L17" s="95">
        <f t="shared" si="9"/>
        <v>94855.448445544738</v>
      </c>
      <c r="M17" s="94" t="s">
        <v>980</v>
      </c>
      <c r="N17" s="94">
        <f>581-$AD$19</f>
        <v>427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14</v>
      </c>
      <c r="S17" s="95">
        <v>100000</v>
      </c>
      <c r="T17" s="95">
        <v>92000</v>
      </c>
      <c r="U17" s="95">
        <f t="shared" si="11"/>
        <v>119848.44063232193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958</v>
      </c>
      <c r="B18" s="91">
        <f t="shared" si="13"/>
        <v>91806.17822845497</v>
      </c>
      <c r="C18" s="91">
        <f t="shared" si="0"/>
        <v>99326.434145758714</v>
      </c>
      <c r="D18" s="91">
        <f t="shared" si="1"/>
        <v>99980.317009895225</v>
      </c>
      <c r="E18" s="91">
        <f t="shared" si="2"/>
        <v>100638.51354243135</v>
      </c>
      <c r="F18" s="91">
        <f t="shared" si="3"/>
        <v>101301.05226034463</v>
      </c>
      <c r="G18" s="91">
        <f t="shared" si="4"/>
        <v>101967.96186951548</v>
      </c>
      <c r="H18" s="91">
        <f t="shared" si="5"/>
        <v>102639.27126600493</v>
      </c>
      <c r="I18" s="91">
        <f t="shared" si="6"/>
        <v>103315.00953728589</v>
      </c>
      <c r="J18" s="91">
        <f t="shared" si="7"/>
        <v>103995.20596356007</v>
      </c>
      <c r="K18" s="91">
        <f t="shared" si="8"/>
        <v>104679.89001899873</v>
      </c>
      <c r="L18" s="91">
        <f t="shared" si="9"/>
        <v>100638.51354243135</v>
      </c>
      <c r="M18" s="90" t="s">
        <v>981</v>
      </c>
      <c r="N18" s="90">
        <f>633-$AD$19</f>
        <v>479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15.704918032786885</v>
      </c>
      <c r="S18" s="91">
        <v>100000</v>
      </c>
      <c r="T18" s="91">
        <v>100000</v>
      </c>
      <c r="U18" s="91">
        <f t="shared" si="11"/>
        <v>130827.20084535066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1005</v>
      </c>
      <c r="AD18" t="s">
        <v>1044</v>
      </c>
      <c r="AF18" s="26"/>
    </row>
    <row r="19" spans="1:32" x14ac:dyDescent="0.25">
      <c r="A19" s="92" t="s">
        <v>951</v>
      </c>
      <c r="B19" s="91">
        <f t="shared" si="13"/>
        <v>90698.710986402439</v>
      </c>
      <c r="C19" s="93">
        <f t="shared" si="0"/>
        <v>99231.181568854998</v>
      </c>
      <c r="D19" s="93">
        <f t="shared" si="1"/>
        <v>99977.523079005579</v>
      </c>
      <c r="E19" s="93">
        <f t="shared" si="2"/>
        <v>100729.48834206419</v>
      </c>
      <c r="F19" s="93">
        <f t="shared" si="3"/>
        <v>101487.11981145435</v>
      </c>
      <c r="G19" s="93">
        <f t="shared" si="4"/>
        <v>102250.46026165193</v>
      </c>
      <c r="H19" s="93">
        <f t="shared" si="5"/>
        <v>103019.55279064446</v>
      </c>
      <c r="I19" s="93">
        <f t="shared" si="6"/>
        <v>103794.44082234666</v>
      </c>
      <c r="J19" s="93">
        <f t="shared" si="7"/>
        <v>104575.16810912284</v>
      </c>
      <c r="K19" s="93">
        <f t="shared" si="8"/>
        <v>105361.77873423113</v>
      </c>
      <c r="L19" s="93">
        <f t="shared" si="9"/>
        <v>100729.48834206419</v>
      </c>
      <c r="M19" s="92" t="s">
        <v>982</v>
      </c>
      <c r="N19" s="92">
        <f>701-$AD$19</f>
        <v>547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17.934426229508198</v>
      </c>
      <c r="S19" s="93">
        <v>100000</v>
      </c>
      <c r="T19" s="93">
        <v>100000</v>
      </c>
      <c r="U19" s="93">
        <f t="shared" si="11"/>
        <v>135914.18558189063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1053</v>
      </c>
      <c r="AD19">
        <v>154</v>
      </c>
      <c r="AF19" s="26"/>
    </row>
    <row r="20" spans="1:32" x14ac:dyDescent="0.25">
      <c r="A20" s="94" t="s">
        <v>966</v>
      </c>
      <c r="B20" s="91">
        <f t="shared" si="13"/>
        <v>86104.057474972709</v>
      </c>
      <c r="C20" s="95">
        <f t="shared" si="0"/>
        <v>94622.55391698645</v>
      </c>
      <c r="D20" s="95">
        <f t="shared" si="1"/>
        <v>95369.438076723978</v>
      </c>
      <c r="E20" s="95">
        <f t="shared" si="2"/>
        <v>96122.227968698237</v>
      </c>
      <c r="F20" s="95">
        <f t="shared" si="3"/>
        <v>96880.970372345429</v>
      </c>
      <c r="G20" s="95">
        <f t="shared" si="4"/>
        <v>97645.712438260496</v>
      </c>
      <c r="H20" s="95">
        <f t="shared" si="5"/>
        <v>98416.501691211699</v>
      </c>
      <c r="I20" s="95">
        <f t="shared" si="6"/>
        <v>99193.386033040049</v>
      </c>
      <c r="J20" s="95">
        <f t="shared" si="7"/>
        <v>99976.413745748563</v>
      </c>
      <c r="K20" s="95">
        <f t="shared" si="8"/>
        <v>100765.63349442839</v>
      </c>
      <c r="L20" s="95">
        <f t="shared" si="9"/>
        <v>96122.227968698237</v>
      </c>
      <c r="M20" s="94" t="s">
        <v>1006</v>
      </c>
      <c r="N20" s="94">
        <f>728-$AD$19</f>
        <v>574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18.819672131147541</v>
      </c>
      <c r="S20" s="95">
        <v>100000</v>
      </c>
      <c r="T20" s="95">
        <v>95000</v>
      </c>
      <c r="U20" s="95">
        <f t="shared" si="11"/>
        <v>131630.96765673783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967</v>
      </c>
      <c r="B21" s="91">
        <f t="shared" si="13"/>
        <v>84952.564131365929</v>
      </c>
      <c r="C21" s="91">
        <f t="shared" si="0"/>
        <v>92486.206233439079</v>
      </c>
      <c r="D21" s="91">
        <f t="shared" si="1"/>
        <v>93143.441064052706</v>
      </c>
      <c r="E21" s="91">
        <f t="shared" si="2"/>
        <v>93805.35550143983</v>
      </c>
      <c r="F21" s="91">
        <f t="shared" si="3"/>
        <v>94471.982929831749</v>
      </c>
      <c r="G21" s="91">
        <f t="shared" si="4"/>
        <v>95143.356972131776</v>
      </c>
      <c r="H21" s="91">
        <f t="shared" si="5"/>
        <v>95819.511491538098</v>
      </c>
      <c r="I21" s="91">
        <f t="shared" si="6"/>
        <v>96500.480593329325</v>
      </c>
      <c r="J21" s="91">
        <f t="shared" si="7"/>
        <v>97186.29862657687</v>
      </c>
      <c r="K21" s="91">
        <f t="shared" si="8"/>
        <v>97877.000185859695</v>
      </c>
      <c r="L21" s="91">
        <f t="shared" si="9"/>
        <v>93805.35550143983</v>
      </c>
      <c r="M21" s="90" t="s">
        <v>983</v>
      </c>
      <c r="N21" s="90">
        <f>671-$AD$19</f>
        <v>517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16.950819672131146</v>
      </c>
      <c r="S21" s="91">
        <v>100000</v>
      </c>
      <c r="T21" s="91">
        <v>90600</v>
      </c>
      <c r="U21" s="91">
        <f t="shared" si="11"/>
        <v>124510.49477678219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968</v>
      </c>
      <c r="B22" s="91">
        <f t="shared" si="13"/>
        <v>75167.540246231758</v>
      </c>
      <c r="C22" s="93">
        <f t="shared" si="0"/>
        <v>86166.936571363549</v>
      </c>
      <c r="D22" s="93">
        <f>$S22/(1+($AC$4-$O22+$P22)/36500)^$N22</f>
        <v>87153.256501868105</v>
      </c>
      <c r="E22" s="93">
        <f t="shared" si="2"/>
        <v>88150.880200583153</v>
      </c>
      <c r="F22" s="93">
        <f t="shared" si="3"/>
        <v>89159.937372399567</v>
      </c>
      <c r="G22" s="93">
        <f t="shared" si="4"/>
        <v>90180.559212332242</v>
      </c>
      <c r="H22" s="93">
        <f t="shared" si="5"/>
        <v>91212.878422570255</v>
      </c>
      <c r="I22" s="93">
        <f t="shared" si="6"/>
        <v>92257.029229961263</v>
      </c>
      <c r="J22" s="93">
        <f t="shared" si="7"/>
        <v>93313.147403395997</v>
      </c>
      <c r="K22" s="93">
        <f t="shared" si="8"/>
        <v>94381.370271677733</v>
      </c>
      <c r="L22" s="93">
        <f t="shared" si="9"/>
        <v>88150.880200583153</v>
      </c>
      <c r="M22" s="92" t="s">
        <v>984</v>
      </c>
      <c r="N22" s="92">
        <f>985-$AD$19</f>
        <v>831</v>
      </c>
      <c r="O22" s="92">
        <v>15</v>
      </c>
      <c r="P22" s="92">
        <f>$AI$2</f>
        <v>0.54</v>
      </c>
      <c r="Q22" s="92">
        <v>6</v>
      </c>
      <c r="R22" s="92">
        <f t="shared" si="10"/>
        <v>27.245901639344261</v>
      </c>
      <c r="S22" s="93">
        <v>100000</v>
      </c>
      <c r="T22" s="93">
        <v>85800</v>
      </c>
      <c r="U22" s="93">
        <f t="shared" si="11"/>
        <v>138962.56406470737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942</v>
      </c>
      <c r="B23" s="91">
        <f t="shared" si="13"/>
        <v>85680.443290116833</v>
      </c>
      <c r="C23" s="95">
        <f t="shared" si="0"/>
        <v>88673.243206414641</v>
      </c>
      <c r="D23" s="95">
        <f t="shared" si="1"/>
        <v>88927.3350276813</v>
      </c>
      <c r="E23" s="95">
        <f t="shared" si="2"/>
        <v>89182.158438911982</v>
      </c>
      <c r="F23" s="95">
        <f t="shared" si="3"/>
        <v>89437.715556591211</v>
      </c>
      <c r="G23" s="95">
        <f t="shared" si="4"/>
        <v>89694.008503343372</v>
      </c>
      <c r="H23" s="95">
        <f t="shared" si="5"/>
        <v>89951.039407975069</v>
      </c>
      <c r="I23" s="95">
        <f t="shared" si="6"/>
        <v>90208.810405471231</v>
      </c>
      <c r="J23" s="95">
        <f t="shared" si="7"/>
        <v>90467.323637027119</v>
      </c>
      <c r="K23" s="95">
        <f t="shared" si="8"/>
        <v>90726.58125006943</v>
      </c>
      <c r="L23" s="95">
        <f t="shared" si="9"/>
        <v>89182.158438911982</v>
      </c>
      <c r="M23" s="94" t="s">
        <v>985</v>
      </c>
      <c r="N23" s="94">
        <f>363-$AD$19</f>
        <v>209</v>
      </c>
      <c r="O23" s="94">
        <v>0</v>
      </c>
      <c r="P23" s="94">
        <v>0</v>
      </c>
      <c r="Q23" s="94">
        <v>0</v>
      </c>
      <c r="R23" s="94">
        <f t="shared" si="10"/>
        <v>6.8524590163934427</v>
      </c>
      <c r="S23" s="95">
        <v>100000</v>
      </c>
      <c r="T23" s="95">
        <v>82800</v>
      </c>
      <c r="U23" s="95">
        <f>B23*(1+$AC$2/36500)^N23</f>
        <v>100000.00000000001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954</v>
      </c>
      <c r="AD23" t="s">
        <v>1054</v>
      </c>
      <c r="AE23" s="25"/>
      <c r="AF23" s="26"/>
    </row>
    <row r="24" spans="1:32" x14ac:dyDescent="0.25">
      <c r="A24" s="90" t="s">
        <v>973</v>
      </c>
      <c r="B24" s="91">
        <f t="shared" si="13"/>
        <v>79412.509979484312</v>
      </c>
      <c r="C24" s="91">
        <f t="shared" si="0"/>
        <v>95400.627107301247</v>
      </c>
      <c r="D24" s="91">
        <f t="shared" si="1"/>
        <v>96870.233398326178</v>
      </c>
      <c r="E24" s="91">
        <f t="shared" si="2"/>
        <v>98362.49895028655</v>
      </c>
      <c r="F24" s="91">
        <f t="shared" si="3"/>
        <v>99877.773454721042</v>
      </c>
      <c r="G24" s="91">
        <f t="shared" si="4"/>
        <v>101416.41200468308</v>
      </c>
      <c r="H24" s="91">
        <f t="shared" si="5"/>
        <v>102978.77517832507</v>
      </c>
      <c r="I24" s="91">
        <f t="shared" si="6"/>
        <v>104565.22912365175</v>
      </c>
      <c r="J24" s="91">
        <f t="shared" si="7"/>
        <v>106176.14564463774</v>
      </c>
      <c r="K24" s="91">
        <f t="shared" si="8"/>
        <v>107811.90228873065</v>
      </c>
      <c r="L24" s="91">
        <f t="shared" si="9"/>
        <v>98362.49895028655</v>
      </c>
      <c r="M24" s="90" t="s">
        <v>976</v>
      </c>
      <c r="N24" s="90">
        <f>1270-$AD$19</f>
        <v>1116</v>
      </c>
      <c r="O24" s="90">
        <v>20</v>
      </c>
      <c r="P24" s="90">
        <f>$AI$2</f>
        <v>0.54</v>
      </c>
      <c r="Q24" s="90">
        <v>6</v>
      </c>
      <c r="R24" s="90">
        <f t="shared" si="10"/>
        <v>36.590163934426229</v>
      </c>
      <c r="S24" s="91">
        <v>100000</v>
      </c>
      <c r="T24" s="91">
        <v>100000</v>
      </c>
      <c r="U24" s="91">
        <f t="shared" si="11"/>
        <v>181251.39218802386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977</v>
      </c>
      <c r="B25" s="91">
        <f t="shared" si="13"/>
        <v>97023.507128346217</v>
      </c>
      <c r="C25" s="93">
        <f t="shared" si="0"/>
        <v>100266.10863242895</v>
      </c>
      <c r="D25" s="93">
        <f t="shared" si="1"/>
        <v>100541.19249441713</v>
      </c>
      <c r="E25" s="93">
        <f t="shared" si="2"/>
        <v>100817.03484330331</v>
      </c>
      <c r="F25" s="93">
        <f t="shared" si="3"/>
        <v>101093.63778089477</v>
      </c>
      <c r="G25" s="93">
        <f t="shared" si="4"/>
        <v>101371.00341484352</v>
      </c>
      <c r="H25" s="93">
        <f t="shared" si="5"/>
        <v>101649.13385868163</v>
      </c>
      <c r="I25" s="93">
        <f t="shared" si="6"/>
        <v>101928.03123182185</v>
      </c>
      <c r="J25" s="93">
        <f t="shared" si="7"/>
        <v>102207.69765957865</v>
      </c>
      <c r="K25" s="93">
        <f t="shared" si="8"/>
        <v>102488.13527318696</v>
      </c>
      <c r="L25" s="93">
        <f t="shared" si="9"/>
        <v>100817.03484330331</v>
      </c>
      <c r="M25" s="92" t="s">
        <v>978</v>
      </c>
      <c r="N25" s="92">
        <f>354-$AD$19</f>
        <v>200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6.557377049180328</v>
      </c>
      <c r="S25" s="93">
        <v>100000</v>
      </c>
      <c r="T25" s="93">
        <v>103000</v>
      </c>
      <c r="U25" s="93">
        <f t="shared" si="11"/>
        <v>112487.69115046198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999</v>
      </c>
      <c r="B26" s="91">
        <f t="shared" si="13"/>
        <v>90296.290839521476</v>
      </c>
      <c r="C26" s="95">
        <f t="shared" si="0"/>
        <v>100000</v>
      </c>
      <c r="D26" s="95">
        <f t="shared" si="1"/>
        <v>100854.31941425026</v>
      </c>
      <c r="E26" s="95">
        <f t="shared" si="2"/>
        <v>101715.9492986182</v>
      </c>
      <c r="F26" s="95">
        <f t="shared" si="3"/>
        <v>102584.95231074569</v>
      </c>
      <c r="G26" s="95">
        <f t="shared" si="4"/>
        <v>103461.39164614482</v>
      </c>
      <c r="H26" s="95">
        <f t="shared" si="5"/>
        <v>104345.33104290809</v>
      </c>
      <c r="I26" s="95">
        <f t="shared" si="6"/>
        <v>105236.83478628173</v>
      </c>
      <c r="J26" s="95">
        <f t="shared" si="7"/>
        <v>106135.96771343119</v>
      </c>
      <c r="K26" s="95">
        <f t="shared" si="8"/>
        <v>107042.79521815336</v>
      </c>
      <c r="L26" s="95">
        <f t="shared" si="9"/>
        <v>101715.9492986182</v>
      </c>
      <c r="M26" s="94" t="s">
        <v>1000</v>
      </c>
      <c r="N26" s="94">
        <f>775-$AD$19</f>
        <v>621</v>
      </c>
      <c r="O26" s="94">
        <v>21</v>
      </c>
      <c r="P26" s="94">
        <v>0</v>
      </c>
      <c r="Q26" s="94">
        <v>1</v>
      </c>
      <c r="R26" s="94">
        <f t="shared" si="10"/>
        <v>20.360655737704917</v>
      </c>
      <c r="S26" s="95">
        <v>100000</v>
      </c>
      <c r="T26" s="95">
        <v>104000</v>
      </c>
      <c r="U26" s="95">
        <f t="shared" si="11"/>
        <v>142921.62833734145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1048</v>
      </c>
      <c r="B27" s="91">
        <f t="shared" si="13"/>
        <v>71189.144745876678</v>
      </c>
      <c r="C27" s="91">
        <f t="shared" si="0"/>
        <v>86382.044680993684</v>
      </c>
      <c r="D27" s="91">
        <f t="shared" si="1"/>
        <v>87785.929442257475</v>
      </c>
      <c r="E27" s="91">
        <f t="shared" si="2"/>
        <v>89212.649899736542</v>
      </c>
      <c r="F27" s="91">
        <f t="shared" si="3"/>
        <v>90662.577820995284</v>
      </c>
      <c r="G27" s="91">
        <f t="shared" si="4"/>
        <v>92136.091031310149</v>
      </c>
      <c r="H27" s="91">
        <f t="shared" si="5"/>
        <v>93633.573512393486</v>
      </c>
      <c r="I27" s="91">
        <f t="shared" si="6"/>
        <v>95155.415502658929</v>
      </c>
      <c r="J27" s="91">
        <f t="shared" si="7"/>
        <v>96702.01359955364</v>
      </c>
      <c r="K27" s="91">
        <f t="shared" si="8"/>
        <v>98273.770862957826</v>
      </c>
      <c r="L27" s="91">
        <f t="shared" si="9"/>
        <v>89212.649899736542</v>
      </c>
      <c r="M27" s="90" t="s">
        <v>1049</v>
      </c>
      <c r="N27" s="90">
        <f>1331-$AD$19</f>
        <v>1177</v>
      </c>
      <c r="O27" s="90">
        <v>17</v>
      </c>
      <c r="P27" s="90">
        <f>AI2</f>
        <v>0.54</v>
      </c>
      <c r="Q27" s="90">
        <v>6</v>
      </c>
      <c r="R27" s="90">
        <f t="shared" si="10"/>
        <v>38.590163934426229</v>
      </c>
      <c r="S27" s="91">
        <v>100000</v>
      </c>
      <c r="T27" s="91"/>
      <c r="U27" s="91">
        <f t="shared" si="11"/>
        <v>169979.18940729587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25" t="s">
        <v>4120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1115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1116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1117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3822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3823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20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1061</v>
      </c>
    </row>
    <row r="2" spans="1:1" x14ac:dyDescent="0.25">
      <c r="A2" t="s">
        <v>1062</v>
      </c>
    </row>
    <row r="3" spans="1:1" x14ac:dyDescent="0.25">
      <c r="A3" t="s">
        <v>1063</v>
      </c>
    </row>
    <row r="4" spans="1:1" x14ac:dyDescent="0.25">
      <c r="A4" t="s">
        <v>1064</v>
      </c>
    </row>
    <row r="5" spans="1:1" x14ac:dyDescent="0.25">
      <c r="A5" t="s">
        <v>1065</v>
      </c>
    </row>
    <row r="6" spans="1:1" x14ac:dyDescent="0.25">
      <c r="A6" t="s">
        <v>1096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2" sqref="G42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1085</v>
      </c>
      <c r="X1" s="11" t="s">
        <v>35</v>
      </c>
      <c r="Y1" s="11" t="s">
        <v>37</v>
      </c>
      <c r="Z1" s="11" t="s">
        <v>484</v>
      </c>
      <c r="AH1" s="189" t="s">
        <v>1097</v>
      </c>
      <c r="AI1" s="189"/>
      <c r="AJ1" s="189"/>
      <c r="AK1" s="189"/>
    </row>
    <row r="2" spans="10:37" x14ac:dyDescent="0.25">
      <c r="R2" s="11" t="s">
        <v>1084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 x14ac:dyDescent="0.25">
      <c r="R3" s="11" t="s">
        <v>1086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1098</v>
      </c>
      <c r="AI3" s="191" t="s">
        <v>1099</v>
      </c>
      <c r="AJ3" s="190" t="s">
        <v>1100</v>
      </c>
      <c r="AK3" s="192" t="s">
        <v>1101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1102</v>
      </c>
      <c r="AI5" s="96" t="s">
        <v>1103</v>
      </c>
      <c r="AJ5" s="96" t="s">
        <v>1104</v>
      </c>
      <c r="AK5" s="96" t="s">
        <v>1105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1106</v>
      </c>
      <c r="AI6" s="97" t="s">
        <v>1107</v>
      </c>
      <c r="AJ6" s="97" t="s">
        <v>1108</v>
      </c>
      <c r="AK6" s="97" t="s">
        <v>1109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1081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1082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1144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1094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1095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1140</v>
      </c>
      <c r="AC14" s="105" t="s">
        <v>1141</v>
      </c>
      <c r="AD14" s="105" t="s">
        <v>1142</v>
      </c>
      <c r="AE14" s="105" t="s">
        <v>183</v>
      </c>
      <c r="AF14" s="105" t="s">
        <v>957</v>
      </c>
      <c r="AG14" s="105" t="s">
        <v>1143</v>
      </c>
      <c r="AH14" s="105" t="s">
        <v>1152</v>
      </c>
      <c r="AI14" s="105" t="s">
        <v>1145</v>
      </c>
    </row>
    <row r="15" spans="10:37" x14ac:dyDescent="0.25">
      <c r="O15" t="s">
        <v>1083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1146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1147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1148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1149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1150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1151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3731</v>
      </c>
      <c r="AK23" s="105"/>
    </row>
    <row r="24" spans="5:37" x14ac:dyDescent="0.25">
      <c r="T24" t="s">
        <v>25</v>
      </c>
      <c r="AJ24" s="105" t="s">
        <v>3732</v>
      </c>
      <c r="AK24" s="105">
        <v>6145</v>
      </c>
    </row>
    <row r="25" spans="5:37" x14ac:dyDescent="0.25">
      <c r="AJ25" s="105" t="s">
        <v>3738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1094</v>
      </c>
      <c r="W26" s="105" t="s">
        <v>280</v>
      </c>
      <c r="X26" s="105" t="s">
        <v>1085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3742</v>
      </c>
      <c r="AK26" s="105">
        <v>6150</v>
      </c>
    </row>
    <row r="27" spans="5:37" x14ac:dyDescent="0.25">
      <c r="R27" s="105" t="s">
        <v>1222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3745</v>
      </c>
      <c r="AK27" s="105">
        <v>6400</v>
      </c>
    </row>
    <row r="28" spans="5:37" x14ac:dyDescent="0.25">
      <c r="E28" t="s">
        <v>25</v>
      </c>
      <c r="R28" s="105" t="s">
        <v>1086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1277</v>
      </c>
      <c r="J29" s="105" t="s">
        <v>1278</v>
      </c>
      <c r="L29" s="105" t="s">
        <v>1194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4006</v>
      </c>
      <c r="M30" s="105" t="s">
        <v>3722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1165</v>
      </c>
      <c r="M31" s="105" t="s">
        <v>3723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3718</v>
      </c>
      <c r="M32" s="105" t="s">
        <v>3719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1122</v>
      </c>
      <c r="G35" s="98">
        <v>24</v>
      </c>
      <c r="I35" s="140">
        <v>0.5</v>
      </c>
      <c r="J35" s="140">
        <v>1.36</v>
      </c>
      <c r="L35" s="105" t="s">
        <v>3720</v>
      </c>
      <c r="M35" s="105" t="s">
        <v>3713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1121</v>
      </c>
      <c r="G36" s="98">
        <v>21.6</v>
      </c>
      <c r="L36" s="105" t="s">
        <v>3919</v>
      </c>
      <c r="M36" s="105" t="s">
        <v>3714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1123</v>
      </c>
      <c r="G37" s="98">
        <v>31.1</v>
      </c>
      <c r="L37" s="105" t="s">
        <v>3724</v>
      </c>
      <c r="M37" s="105" t="s">
        <v>3725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1124</v>
      </c>
      <c r="G38" s="98">
        <v>8.1329999999999991</v>
      </c>
      <c r="L38" s="59">
        <v>35679</v>
      </c>
      <c r="M38" s="69" t="s">
        <v>3757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1125</v>
      </c>
      <c r="G39" s="98">
        <v>1214</v>
      </c>
      <c r="L39" s="105" t="s">
        <v>3726</v>
      </c>
      <c r="M39" s="105" t="s">
        <v>3727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1126</v>
      </c>
      <c r="G40" s="98">
        <v>10500</v>
      </c>
      <c r="H40">
        <v>375</v>
      </c>
      <c r="L40" s="105" t="s">
        <v>3920</v>
      </c>
      <c r="M40" s="105" t="s">
        <v>3717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1128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1127</v>
      </c>
      <c r="G42" s="101">
        <f>G36*G38*G39*G40/(G35*G37)+G41</f>
        <v>3005135.55948553</v>
      </c>
      <c r="L42" s="105" t="s">
        <v>3728</v>
      </c>
      <c r="M42" s="105" t="s">
        <v>3729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3721</v>
      </c>
      <c r="M43" s="105" t="s">
        <v>3730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3758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1163</v>
      </c>
      <c r="V51" s="105" t="s">
        <v>280</v>
      </c>
      <c r="W51" s="105" t="s">
        <v>1085</v>
      </c>
      <c r="X51" s="105" t="s">
        <v>35</v>
      </c>
      <c r="Y51" s="105" t="s">
        <v>37</v>
      </c>
      <c r="Z51" s="105" t="s">
        <v>1251</v>
      </c>
    </row>
    <row r="52" spans="1:26" x14ac:dyDescent="0.25">
      <c r="R52" s="105" t="s">
        <v>1245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1086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1255</v>
      </c>
      <c r="F63" s="138" t="s">
        <v>1127</v>
      </c>
      <c r="G63" s="116">
        <v>14100000</v>
      </c>
      <c r="H63" s="138" t="s">
        <v>1256</v>
      </c>
      <c r="I63" s="116">
        <f>G67*G63/G65</f>
        <v>7497073.1707317075</v>
      </c>
      <c r="J63" s="138" t="s">
        <v>1257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1142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1258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3916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3892</v>
      </c>
      <c r="B90" s="105" t="s">
        <v>3915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3893</v>
      </c>
      <c r="B91" s="90">
        <f>116-'اوراق بدون ریسک'!$AD$19</f>
        <v>-38</v>
      </c>
      <c r="C91" s="152">
        <f>$B$89/(1+(C$90/36500))^$B91</f>
        <v>3056735.1302238298</v>
      </c>
      <c r="D91" s="152">
        <f>$B$89/(1+(D$90/36500))^$B91</f>
        <v>3059917.5279133692</v>
      </c>
      <c r="E91" s="152">
        <f t="shared" ref="E91:L106" si="5">$B$89/(1+(E$90/36500))^$B91</f>
        <v>3063103.1515506175</v>
      </c>
      <c r="F91" s="152">
        <f t="shared" si="5"/>
        <v>3066292.0043172007</v>
      </c>
      <c r="G91" s="152">
        <f t="shared" si="5"/>
        <v>3069484.0893977531</v>
      </c>
      <c r="H91" s="152">
        <f t="shared" si="5"/>
        <v>3072679.4099800722</v>
      </c>
      <c r="I91" s="152">
        <f t="shared" si="5"/>
        <v>3075877.9692549217</v>
      </c>
      <c r="J91" s="152">
        <f t="shared" si="5"/>
        <v>3079079.7704161257</v>
      </c>
      <c r="K91" s="152">
        <f>$B$89/(1+(K$90/36500))^$B91</f>
        <v>3082284.8166606058</v>
      </c>
      <c r="L91" s="152">
        <f t="shared" si="5"/>
        <v>3085493.1111883447</v>
      </c>
    </row>
    <row r="92" spans="1:12" x14ac:dyDescent="0.25">
      <c r="A92" s="153" t="s">
        <v>3894</v>
      </c>
      <c r="B92" s="92">
        <f>120-'اوراق بدون ریسک'!$AD$19</f>
        <v>-34</v>
      </c>
      <c r="C92" s="154">
        <f t="shared" ref="C92:L112" si="6">$B$89/(1+(C$90/36500))^$B92</f>
        <v>3050712.8327120002</v>
      </c>
      <c r="D92" s="154">
        <f t="shared" si="6"/>
        <v>3053554.4756259243</v>
      </c>
      <c r="E92" s="154">
        <f t="shared" si="5"/>
        <v>3056398.6875203233</v>
      </c>
      <c r="F92" s="154">
        <f t="shared" si="5"/>
        <v>3059245.4706472377</v>
      </c>
      <c r="G92" s="154">
        <f t="shared" si="5"/>
        <v>3062094.8272605818</v>
      </c>
      <c r="H92" s="154">
        <f t="shared" si="5"/>
        <v>3064946.7596162837</v>
      </c>
      <c r="I92" s="154">
        <f t="shared" si="5"/>
        <v>3067801.2699721074</v>
      </c>
      <c r="J92" s="154">
        <f t="shared" si="5"/>
        <v>3070658.3605877347</v>
      </c>
      <c r="K92" s="154">
        <f t="shared" si="5"/>
        <v>3073518.0337247937</v>
      </c>
      <c r="L92" s="154">
        <f t="shared" si="5"/>
        <v>3076380.2916468363</v>
      </c>
    </row>
    <row r="93" spans="1:12" x14ac:dyDescent="0.25">
      <c r="A93" s="155" t="s">
        <v>3895</v>
      </c>
      <c r="B93" s="156">
        <f>137-'اوراق بدون ریسک'!$AD$19</f>
        <v>-17</v>
      </c>
      <c r="C93" s="157">
        <f t="shared" si="6"/>
        <v>3025250.1546377949</v>
      </c>
      <c r="D93" s="157">
        <f t="shared" si="6"/>
        <v>3026658.7893050942</v>
      </c>
      <c r="E93" s="157">
        <f t="shared" si="5"/>
        <v>3028068.041270039</v>
      </c>
      <c r="F93" s="157">
        <f t="shared" si="5"/>
        <v>3029477.910786232</v>
      </c>
      <c r="G93" s="157">
        <f t="shared" si="5"/>
        <v>3030888.3981073513</v>
      </c>
      <c r="H93" s="157">
        <f t="shared" si="5"/>
        <v>3032299.5034872219</v>
      </c>
      <c r="I93" s="157">
        <f t="shared" si="5"/>
        <v>3033711.2271797261</v>
      </c>
      <c r="J93" s="157">
        <f t="shared" si="5"/>
        <v>3035123.5694388468</v>
      </c>
      <c r="K93" s="157">
        <f t="shared" si="5"/>
        <v>3036536.5305186734</v>
      </c>
      <c r="L93" s="157">
        <f t="shared" si="5"/>
        <v>3037950.1106733978</v>
      </c>
    </row>
    <row r="94" spans="1:12" x14ac:dyDescent="0.25">
      <c r="A94" s="158" t="s">
        <v>3896</v>
      </c>
      <c r="B94" s="159">
        <f>116-'اوراق بدون ریسک'!$AD$19</f>
        <v>-38</v>
      </c>
      <c r="C94" s="160">
        <f t="shared" si="6"/>
        <v>3056735.1302238298</v>
      </c>
      <c r="D94" s="160">
        <f t="shared" si="6"/>
        <v>3059917.5279133692</v>
      </c>
      <c r="E94" s="160">
        <f t="shared" si="5"/>
        <v>3063103.1515506175</v>
      </c>
      <c r="F94" s="160">
        <f t="shared" si="5"/>
        <v>3066292.0043172007</v>
      </c>
      <c r="G94" s="160">
        <f t="shared" si="5"/>
        <v>3069484.0893977531</v>
      </c>
      <c r="H94" s="160">
        <f t="shared" si="5"/>
        <v>3072679.4099800722</v>
      </c>
      <c r="I94" s="160">
        <f t="shared" si="5"/>
        <v>3075877.9692549217</v>
      </c>
      <c r="J94" s="160">
        <f t="shared" si="5"/>
        <v>3079079.7704161257</v>
      </c>
      <c r="K94" s="160">
        <f t="shared" si="5"/>
        <v>3082284.8166606058</v>
      </c>
      <c r="L94" s="160">
        <f t="shared" si="5"/>
        <v>3085493.1111883447</v>
      </c>
    </row>
    <row r="95" spans="1:12" x14ac:dyDescent="0.25">
      <c r="A95" s="161" t="s">
        <v>3897</v>
      </c>
      <c r="B95" s="162">
        <f>167-'اوراق بدون ریسک'!$AD$19</f>
        <v>13</v>
      </c>
      <c r="C95" s="163">
        <f t="shared" si="6"/>
        <v>2980833.3528457009</v>
      </c>
      <c r="D95" s="163">
        <f t="shared" si="6"/>
        <v>2979772.4128544545</v>
      </c>
      <c r="E95" s="163">
        <f t="shared" si="5"/>
        <v>2978711.8795094229</v>
      </c>
      <c r="F95" s="163">
        <f t="shared" si="5"/>
        <v>2977651.7526436164</v>
      </c>
      <c r="G95" s="163">
        <f t="shared" si="5"/>
        <v>2976592.0320901279</v>
      </c>
      <c r="H95" s="163">
        <f t="shared" si="5"/>
        <v>2975532.7176820915</v>
      </c>
      <c r="I95" s="163">
        <f t="shared" si="5"/>
        <v>2974473.8092527436</v>
      </c>
      <c r="J95" s="163">
        <f t="shared" si="5"/>
        <v>2973415.3066353886</v>
      </c>
      <c r="K95" s="163">
        <f t="shared" si="5"/>
        <v>2972357.2096633995</v>
      </c>
      <c r="L95" s="163">
        <f t="shared" si="5"/>
        <v>2971299.5181702194</v>
      </c>
    </row>
    <row r="96" spans="1:12" x14ac:dyDescent="0.25">
      <c r="A96" s="166" t="s">
        <v>3898</v>
      </c>
      <c r="B96" s="167">
        <f>181-'اوراق بدون ریسک'!$AD$19</f>
        <v>27</v>
      </c>
      <c r="C96" s="168">
        <f t="shared" si="6"/>
        <v>2960329.2707382925</v>
      </c>
      <c r="D96" s="168">
        <f t="shared" si="6"/>
        <v>2958141.3563981187</v>
      </c>
      <c r="E96" s="168">
        <f t="shared" si="5"/>
        <v>2955955.1189418174</v>
      </c>
      <c r="F96" s="168">
        <f t="shared" si="5"/>
        <v>2953770.5570383095</v>
      </c>
      <c r="G96" s="168">
        <f t="shared" si="5"/>
        <v>2951587.6693576383</v>
      </c>
      <c r="H96" s="168">
        <f t="shared" si="5"/>
        <v>2949406.4545708648</v>
      </c>
      <c r="I96" s="168">
        <f t="shared" si="5"/>
        <v>2947226.9113502009</v>
      </c>
      <c r="J96" s="168">
        <f t="shared" si="5"/>
        <v>2945049.0383689469</v>
      </c>
      <c r="K96" s="168">
        <f t="shared" si="5"/>
        <v>2942872.8343014726</v>
      </c>
      <c r="L96" s="168">
        <f t="shared" si="5"/>
        <v>2940698.2978232363</v>
      </c>
    </row>
    <row r="97" spans="1:12" x14ac:dyDescent="0.25">
      <c r="A97" s="169" t="s">
        <v>3899</v>
      </c>
      <c r="B97" s="88">
        <f>197-'اوراق بدون ریسک'!$AD$19</f>
        <v>43</v>
      </c>
      <c r="C97" s="148">
        <f t="shared" si="6"/>
        <v>2937068.6796977171</v>
      </c>
      <c r="D97" s="148">
        <f t="shared" si="6"/>
        <v>2933612.3595375754</v>
      </c>
      <c r="E97" s="148">
        <f t="shared" si="5"/>
        <v>2930160.2012249185</v>
      </c>
      <c r="F97" s="148">
        <f t="shared" si="5"/>
        <v>2926712.1996345981</v>
      </c>
      <c r="G97" s="148">
        <f t="shared" si="5"/>
        <v>2923268.3496479644</v>
      </c>
      <c r="H97" s="148">
        <f t="shared" si="5"/>
        <v>2919828.6461526924</v>
      </c>
      <c r="I97" s="148">
        <f t="shared" si="5"/>
        <v>2916393.0840429901</v>
      </c>
      <c r="J97" s="148">
        <f t="shared" si="5"/>
        <v>2912961.6582194855</v>
      </c>
      <c r="K97" s="148">
        <f t="shared" si="5"/>
        <v>2909534.363589196</v>
      </c>
      <c r="L97" s="148">
        <f t="shared" si="5"/>
        <v>2906111.1950655468</v>
      </c>
    </row>
    <row r="98" spans="1:12" x14ac:dyDescent="0.25">
      <c r="A98" s="170" t="s">
        <v>3900</v>
      </c>
      <c r="B98" s="127">
        <f>214-'اوراق بدون ریسک'!$AD$19</f>
        <v>60</v>
      </c>
      <c r="C98" s="112">
        <f t="shared" si="6"/>
        <v>2912554.5289487289</v>
      </c>
      <c r="D98" s="112">
        <f t="shared" si="6"/>
        <v>2907773.1225307221</v>
      </c>
      <c r="E98" s="112">
        <f t="shared" si="5"/>
        <v>2902999.6961322683</v>
      </c>
      <c r="F98" s="112">
        <f t="shared" si="5"/>
        <v>2898234.2362169954</v>
      </c>
      <c r="G98" s="112">
        <f t="shared" si="5"/>
        <v>2893476.7292719283</v>
      </c>
      <c r="H98" s="112">
        <f t="shared" si="5"/>
        <v>2888727.1618072176</v>
      </c>
      <c r="I98" s="112">
        <f t="shared" si="5"/>
        <v>2883985.5203563976</v>
      </c>
      <c r="J98" s="112">
        <f t="shared" si="5"/>
        <v>2879251.7914762059</v>
      </c>
      <c r="K98" s="112">
        <f t="shared" si="5"/>
        <v>2874525.9617465064</v>
      </c>
      <c r="L98" s="112">
        <f t="shared" si="5"/>
        <v>2869808.0177702843</v>
      </c>
    </row>
    <row r="99" spans="1:12" x14ac:dyDescent="0.25">
      <c r="A99" s="171" t="s">
        <v>3901</v>
      </c>
      <c r="B99" s="172">
        <f>272-'اوراق بدون ریسک'!$AD$19</f>
        <v>118</v>
      </c>
      <c r="C99" s="173">
        <f t="shared" si="6"/>
        <v>2830447.5719670076</v>
      </c>
      <c r="D99" s="173">
        <f t="shared" si="6"/>
        <v>2821316.4798097247</v>
      </c>
      <c r="E99" s="173">
        <f t="shared" si="5"/>
        <v>2812215.0936003211</v>
      </c>
      <c r="F99" s="173">
        <f t="shared" si="5"/>
        <v>2803143.3158877459</v>
      </c>
      <c r="G99" s="173">
        <f t="shared" si="5"/>
        <v>2794101.0495434208</v>
      </c>
      <c r="H99" s="173">
        <f t="shared" si="5"/>
        <v>2785088.19775972</v>
      </c>
      <c r="I99" s="173">
        <f t="shared" si="5"/>
        <v>2776104.6640494759</v>
      </c>
      <c r="J99" s="173">
        <f t="shared" si="5"/>
        <v>2767150.3522446412</v>
      </c>
      <c r="K99" s="173">
        <f t="shared" si="5"/>
        <v>2758225.1664951546</v>
      </c>
      <c r="L99" s="173">
        <f t="shared" si="5"/>
        <v>2749329.0112679503</v>
      </c>
    </row>
    <row r="100" spans="1:12" x14ac:dyDescent="0.25">
      <c r="A100" s="155" t="s">
        <v>3902</v>
      </c>
      <c r="B100" s="156">
        <f>302-'اوراق بدون ریسک'!$AD$19</f>
        <v>148</v>
      </c>
      <c r="C100" s="157">
        <f t="shared" si="6"/>
        <v>2788890.8667820687</v>
      </c>
      <c r="D100" s="157">
        <f t="shared" si="6"/>
        <v>2777611.0885623954</v>
      </c>
      <c r="E100" s="157">
        <f t="shared" si="5"/>
        <v>2766377.2388448627</v>
      </c>
      <c r="F100" s="157">
        <f t="shared" si="5"/>
        <v>2755189.129369874</v>
      </c>
      <c r="G100" s="157">
        <f t="shared" si="5"/>
        <v>2744046.5726547795</v>
      </c>
      <c r="H100" s="157">
        <f t="shared" si="5"/>
        <v>2732949.3819901035</v>
      </c>
      <c r="I100" s="157">
        <f t="shared" si="5"/>
        <v>2721897.3714370453</v>
      </c>
      <c r="J100" s="157">
        <f t="shared" si="5"/>
        <v>2710890.3558239476</v>
      </c>
      <c r="K100" s="157">
        <f t="shared" si="5"/>
        <v>2699928.1507430193</v>
      </c>
      <c r="L100" s="157">
        <f t="shared" si="5"/>
        <v>2689010.5725472542</v>
      </c>
    </row>
    <row r="101" spans="1:12" x14ac:dyDescent="0.25">
      <c r="A101" s="158" t="s">
        <v>3903</v>
      </c>
      <c r="B101" s="159">
        <f>319-'اوراق بدون ریسک'!$AD$19</f>
        <v>165</v>
      </c>
      <c r="C101" s="160">
        <f t="shared" si="6"/>
        <v>2765613.4774573469</v>
      </c>
      <c r="D101" s="160">
        <f t="shared" si="6"/>
        <v>2753145.9096518657</v>
      </c>
      <c r="E101" s="160">
        <f t="shared" si="5"/>
        <v>2740734.8855522242</v>
      </c>
      <c r="F101" s="160">
        <f t="shared" si="5"/>
        <v>2728380.1471800413</v>
      </c>
      <c r="G101" s="160">
        <f t="shared" si="5"/>
        <v>2716081.4377411352</v>
      </c>
      <c r="H101" s="160">
        <f t="shared" si="5"/>
        <v>2703838.5016194563</v>
      </c>
      <c r="I101" s="160">
        <f t="shared" si="5"/>
        <v>2691651.0843724338</v>
      </c>
      <c r="J101" s="160">
        <f t="shared" si="5"/>
        <v>2679518.9327251883</v>
      </c>
      <c r="K101" s="160">
        <f t="shared" si="5"/>
        <v>2667441.7945650495</v>
      </c>
      <c r="L101" s="160">
        <f t="shared" si="5"/>
        <v>2655419.4189362805</v>
      </c>
    </row>
    <row r="102" spans="1:12" x14ac:dyDescent="0.25">
      <c r="A102" s="155" t="s">
        <v>3904</v>
      </c>
      <c r="B102" s="156">
        <f>334-'اوراق بدون ریسک'!$AD$19</f>
        <v>180</v>
      </c>
      <c r="C102" s="157">
        <f t="shared" si="6"/>
        <v>2745236.0005653901</v>
      </c>
      <c r="D102" s="157">
        <f t="shared" si="6"/>
        <v>2731738.0019542309</v>
      </c>
      <c r="E102" s="157">
        <f t="shared" si="5"/>
        <v>2718306.7382830931</v>
      </c>
      <c r="F102" s="157">
        <f t="shared" si="5"/>
        <v>2704941.877796487</v>
      </c>
      <c r="G102" s="157">
        <f t="shared" si="5"/>
        <v>2691643.0903973617</v>
      </c>
      <c r="H102" s="157">
        <f t="shared" si="5"/>
        <v>2678410.0476381108</v>
      </c>
      <c r="I102" s="157">
        <f t="shared" si="5"/>
        <v>2665242.4227131433</v>
      </c>
      <c r="J102" s="157">
        <f t="shared" si="5"/>
        <v>2652139.8904502285</v>
      </c>
      <c r="K102" s="157">
        <f t="shared" si="5"/>
        <v>2639102.1273021861</v>
      </c>
      <c r="L102" s="157">
        <f t="shared" si="5"/>
        <v>2626128.8113388205</v>
      </c>
    </row>
    <row r="103" spans="1:12" x14ac:dyDescent="0.25">
      <c r="A103" s="158" t="s">
        <v>3905</v>
      </c>
      <c r="B103" s="159">
        <f>349-'اوراق بدون ریسک'!$AD$19</f>
        <v>195</v>
      </c>
      <c r="C103" s="160">
        <f t="shared" si="6"/>
        <v>2725008.6681415122</v>
      </c>
      <c r="D103" s="160">
        <f t="shared" si="6"/>
        <v>2710496.5578320939</v>
      </c>
      <c r="E103" s="160">
        <f t="shared" si="5"/>
        <v>2696062.1263834643</v>
      </c>
      <c r="F103" s="160">
        <f t="shared" si="5"/>
        <v>2681704.9558946132</v>
      </c>
      <c r="G103" s="160">
        <f t="shared" si="5"/>
        <v>2667424.6307243314</v>
      </c>
      <c r="H103" s="160">
        <f t="shared" si="5"/>
        <v>2653220.7374782227</v>
      </c>
      <c r="I103" s="160">
        <f t="shared" si="5"/>
        <v>2639092.8649974084</v>
      </c>
      <c r="J103" s="160">
        <f t="shared" si="5"/>
        <v>2625040.6043459536</v>
      </c>
      <c r="K103" s="160">
        <f t="shared" si="5"/>
        <v>2611063.5487986747</v>
      </c>
      <c r="L103" s="160">
        <f t="shared" si="5"/>
        <v>2597161.2938292432</v>
      </c>
    </row>
    <row r="104" spans="1:12" x14ac:dyDescent="0.25">
      <c r="A104" s="171" t="s">
        <v>3906</v>
      </c>
      <c r="B104" s="172">
        <f>361-'اوراق بدون ریسک'!$AD$19</f>
        <v>207</v>
      </c>
      <c r="C104" s="173">
        <f t="shared" si="6"/>
        <v>2708934.1625194172</v>
      </c>
      <c r="D104" s="173">
        <f t="shared" si="6"/>
        <v>2693622.3861417244</v>
      </c>
      <c r="E104" s="173">
        <f t="shared" si="5"/>
        <v>2678397.5726273148</v>
      </c>
      <c r="F104" s="173">
        <f t="shared" si="5"/>
        <v>2663259.225711727</v>
      </c>
      <c r="G104" s="173">
        <f t="shared" si="5"/>
        <v>2648206.8519761804</v>
      </c>
      <c r="H104" s="173">
        <f t="shared" si="5"/>
        <v>2633239.9608304338</v>
      </c>
      <c r="I104" s="173">
        <f t="shared" si="5"/>
        <v>2618358.0644974611</v>
      </c>
      <c r="J104" s="173">
        <f t="shared" si="5"/>
        <v>2603560.6779967905</v>
      </c>
      <c r="K104" s="173">
        <f t="shared" si="5"/>
        <v>2588847.3191282768</v>
      </c>
      <c r="L104" s="173">
        <f t="shared" si="5"/>
        <v>2574217.5084562097</v>
      </c>
    </row>
    <row r="105" spans="1:12" x14ac:dyDescent="0.25">
      <c r="A105" s="164" t="s">
        <v>3907</v>
      </c>
      <c r="B105" s="94">
        <f>372-'اوراق بدون ریسک'!$AD$19</f>
        <v>218</v>
      </c>
      <c r="C105" s="165">
        <f t="shared" si="6"/>
        <v>2694282.5108608967</v>
      </c>
      <c r="D105" s="165">
        <f t="shared" si="6"/>
        <v>2678246.6949203056</v>
      </c>
      <c r="E105" s="165">
        <f t="shared" si="5"/>
        <v>2662306.7560493555</v>
      </c>
      <c r="F105" s="165">
        <f t="shared" si="5"/>
        <v>2646462.1184036462</v>
      </c>
      <c r="G105" s="165">
        <f t="shared" si="5"/>
        <v>2630712.2096131868</v>
      </c>
      <c r="H105" s="165">
        <f t="shared" si="5"/>
        <v>2615056.4607605604</v>
      </c>
      <c r="I105" s="165">
        <f t="shared" si="5"/>
        <v>2599494.3063610098</v>
      </c>
      <c r="J105" s="165">
        <f t="shared" si="5"/>
        <v>2584025.1843411657</v>
      </c>
      <c r="K105" s="165">
        <f t="shared" si="5"/>
        <v>2568648.5360182547</v>
      </c>
      <c r="L105" s="165">
        <f t="shared" si="5"/>
        <v>2553363.8060796657</v>
      </c>
    </row>
    <row r="106" spans="1:12" x14ac:dyDescent="0.25">
      <c r="A106" s="158" t="s">
        <v>3908</v>
      </c>
      <c r="B106" s="159">
        <f>391-'اوراق بدون ریسک'!$AD$19</f>
        <v>237</v>
      </c>
      <c r="C106" s="160">
        <f t="shared" si="6"/>
        <v>2669161.5203860048</v>
      </c>
      <c r="D106" s="160">
        <f t="shared" si="6"/>
        <v>2651895.1211924087</v>
      </c>
      <c r="E106" s="160">
        <f t="shared" si="5"/>
        <v>2634740.8839227944</v>
      </c>
      <c r="F106" s="160">
        <f t="shared" si="5"/>
        <v>2617698.0769358664</v>
      </c>
      <c r="G106" s="160">
        <f t="shared" si="5"/>
        <v>2600765.9733829577</v>
      </c>
      <c r="H106" s="160">
        <f t="shared" si="5"/>
        <v>2583943.8511756775</v>
      </c>
      <c r="I106" s="160">
        <f t="shared" si="5"/>
        <v>2567230.9929556795</v>
      </c>
      <c r="J106" s="160">
        <f t="shared" si="5"/>
        <v>2550626.6860630512</v>
      </c>
      <c r="K106" s="160">
        <f t="shared" si="5"/>
        <v>2534130.2225052812</v>
      </c>
      <c r="L106" s="160">
        <f t="shared" si="5"/>
        <v>2517740.8989266898</v>
      </c>
    </row>
    <row r="107" spans="1:12" x14ac:dyDescent="0.25">
      <c r="A107" s="164" t="s">
        <v>3909</v>
      </c>
      <c r="B107" s="94">
        <f>407-'اوراق بدون ریسک'!$AD$19</f>
        <v>253</v>
      </c>
      <c r="C107" s="165">
        <f t="shared" si="6"/>
        <v>2648188.760645851</v>
      </c>
      <c r="D107" s="165">
        <f t="shared" si="6"/>
        <v>2629905.5273004449</v>
      </c>
      <c r="E107" s="165">
        <f t="shared" si="6"/>
        <v>2611749.0178181203</v>
      </c>
      <c r="F107" s="165">
        <f t="shared" si="6"/>
        <v>2593718.3504225924</v>
      </c>
      <c r="G107" s="165">
        <f t="shared" si="6"/>
        <v>2575812.6494973409</v>
      </c>
      <c r="H107" s="165">
        <f t="shared" si="6"/>
        <v>2558031.0455415319</v>
      </c>
      <c r="I107" s="165">
        <f t="shared" si="6"/>
        <v>2540372.6751282783</v>
      </c>
      <c r="J107" s="165">
        <f t="shared" si="6"/>
        <v>2522836.6808615108</v>
      </c>
      <c r="K107" s="165">
        <f t="shared" si="6"/>
        <v>2505422.211333558</v>
      </c>
      <c r="L107" s="165">
        <f t="shared" si="6"/>
        <v>2488128.4210832901</v>
      </c>
    </row>
    <row r="108" spans="1:12" x14ac:dyDescent="0.25">
      <c r="A108" s="155" t="s">
        <v>3910</v>
      </c>
      <c r="B108" s="156">
        <f>573-'اوراق بدون ریسک'!$AD$19</f>
        <v>419</v>
      </c>
      <c r="C108" s="157">
        <f t="shared" si="6"/>
        <v>2440085.5125892526</v>
      </c>
      <c r="D108" s="157">
        <f t="shared" si="6"/>
        <v>2412248.8572333935</v>
      </c>
      <c r="E108" s="157">
        <f t="shared" si="6"/>
        <v>2384730.5134957298</v>
      </c>
      <c r="F108" s="157">
        <f t="shared" si="6"/>
        <v>2357526.8329220545</v>
      </c>
      <c r="G108" s="157">
        <f t="shared" si="6"/>
        <v>2330634.2089749263</v>
      </c>
      <c r="H108" s="157">
        <f t="shared" si="6"/>
        <v>2304049.0765496353</v>
      </c>
      <c r="I108" s="157">
        <f t="shared" si="6"/>
        <v>2277767.9114988148</v>
      </c>
      <c r="J108" s="157">
        <f t="shared" si="6"/>
        <v>2251787.2301600068</v>
      </c>
      <c r="K108" s="157">
        <f t="shared" si="6"/>
        <v>2226103.588889278</v>
      </c>
      <c r="L108" s="157">
        <f t="shared" si="6"/>
        <v>2200713.5836006422</v>
      </c>
    </row>
    <row r="109" spans="1:12" x14ac:dyDescent="0.25">
      <c r="A109" s="164" t="s">
        <v>3911</v>
      </c>
      <c r="B109" s="94">
        <f>579-'اوراق بدون ریسک'!$AD$19</f>
        <v>425</v>
      </c>
      <c r="C109" s="165">
        <f t="shared" si="6"/>
        <v>2432877.9790498917</v>
      </c>
      <c r="D109" s="165">
        <f t="shared" si="6"/>
        <v>2404728.4176824731</v>
      </c>
      <c r="E109" s="165">
        <f t="shared" si="6"/>
        <v>2376905.3176639648</v>
      </c>
      <c r="F109" s="165">
        <f t="shared" si="6"/>
        <v>2349404.8841117043</v>
      </c>
      <c r="G109" s="165">
        <f t="shared" si="6"/>
        <v>2322223.3663583468</v>
      </c>
      <c r="H109" s="165">
        <f t="shared" si="6"/>
        <v>2295357.0574341705</v>
      </c>
      <c r="I109" s="165">
        <f t="shared" si="6"/>
        <v>2268802.2935585272</v>
      </c>
      <c r="J109" s="165">
        <f t="shared" si="6"/>
        <v>2242555.4536346886</v>
      </c>
      <c r="K109" s="165">
        <f t="shared" si="6"/>
        <v>2216612.9587512109</v>
      </c>
      <c r="L109" s="165">
        <f t="shared" si="6"/>
        <v>2190971.2716895537</v>
      </c>
    </row>
    <row r="110" spans="1:12" x14ac:dyDescent="0.25">
      <c r="A110" s="158" t="s">
        <v>3912</v>
      </c>
      <c r="B110" s="159">
        <f>753-'اوراق بدون ریسک'!$AD$19</f>
        <v>599</v>
      </c>
      <c r="C110" s="160">
        <f t="shared" si="6"/>
        <v>2232870.1978726899</v>
      </c>
      <c r="D110" s="160">
        <f t="shared" si="6"/>
        <v>2196543.9578250428</v>
      </c>
      <c r="E110" s="160">
        <f t="shared" si="6"/>
        <v>2160809.6746082478</v>
      </c>
      <c r="F110" s="160">
        <f t="shared" si="6"/>
        <v>2125657.6861332627</v>
      </c>
      <c r="G110" s="160">
        <f t="shared" si="6"/>
        <v>2091078.4882770272</v>
      </c>
      <c r="H110" s="160">
        <f t="shared" si="6"/>
        <v>2057062.732293952</v>
      </c>
      <c r="I110" s="160">
        <f t="shared" si="6"/>
        <v>2023601.2222737861</v>
      </c>
      <c r="J110" s="160">
        <f t="shared" si="6"/>
        <v>1990684.912637928</v>
      </c>
      <c r="K110" s="160">
        <f t="shared" si="6"/>
        <v>1958304.9056775754</v>
      </c>
      <c r="L110" s="160">
        <f t="shared" si="6"/>
        <v>1926452.4491327838</v>
      </c>
    </row>
    <row r="111" spans="1:12" x14ac:dyDescent="0.25">
      <c r="A111" s="171" t="s">
        <v>3913</v>
      </c>
      <c r="B111" s="172">
        <f>757-'اوراق بدون ریسک'!$AD$19</f>
        <v>603</v>
      </c>
      <c r="C111" s="173">
        <f t="shared" si="6"/>
        <v>2228471.0569383218</v>
      </c>
      <c r="D111" s="173">
        <f t="shared" si="6"/>
        <v>2191976.2778376532</v>
      </c>
      <c r="E111" s="173">
        <f t="shared" si="6"/>
        <v>2156080.1340009109</v>
      </c>
      <c r="F111" s="173">
        <f t="shared" si="6"/>
        <v>2120772.7898366712</v>
      </c>
      <c r="G111" s="173">
        <f t="shared" si="6"/>
        <v>2086044.5716157064</v>
      </c>
      <c r="H111" s="173">
        <f t="shared" si="6"/>
        <v>2051885.9648012086</v>
      </c>
      <c r="I111" s="173">
        <f t="shared" si="6"/>
        <v>2018287.6114270599</v>
      </c>
      <c r="J111" s="173">
        <f t="shared" si="6"/>
        <v>1985240.3075161013</v>
      </c>
      <c r="K111" s="173">
        <f t="shared" si="6"/>
        <v>1952735.0005418095</v>
      </c>
      <c r="L111" s="173">
        <f t="shared" si="6"/>
        <v>1920762.7869324093</v>
      </c>
    </row>
    <row r="112" spans="1:12" x14ac:dyDescent="0.25">
      <c r="A112" s="155" t="s">
        <v>3914</v>
      </c>
      <c r="B112" s="156">
        <f>774-'اوراق بدون ریسک'!$AD$19</f>
        <v>620</v>
      </c>
      <c r="C112" s="157">
        <f t="shared" si="6"/>
        <v>2209871.193813853</v>
      </c>
      <c r="D112" s="157">
        <f t="shared" si="6"/>
        <v>2172669.3662164547</v>
      </c>
      <c r="E112" s="157">
        <f t="shared" si="6"/>
        <v>2136094.8016510913</v>
      </c>
      <c r="F112" s="157">
        <f t="shared" si="6"/>
        <v>2100136.9070417886</v>
      </c>
      <c r="G112" s="157">
        <f t="shared" si="6"/>
        <v>2064785.2684892758</v>
      </c>
      <c r="H112" s="157">
        <f t="shared" si="6"/>
        <v>2030029.6482337781</v>
      </c>
      <c r="I112" s="157">
        <f t="shared" si="6"/>
        <v>1995859.9816733547</v>
      </c>
      <c r="J112" s="157">
        <f t="shared" si="6"/>
        <v>1962266.3744295051</v>
      </c>
      <c r="K112" s="157">
        <f t="shared" si="6"/>
        <v>1929239.0994633557</v>
      </c>
      <c r="L112" s="157">
        <f t="shared" si="6"/>
        <v>1896768.5942413146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1022</v>
      </c>
    </row>
    <row r="187" spans="1:7" x14ac:dyDescent="0.25">
      <c r="A187" s="11" t="s">
        <v>1021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1022</v>
      </c>
    </row>
    <row r="188" spans="1:7" x14ac:dyDescent="0.25">
      <c r="A188" s="11" t="s">
        <v>1021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1033</v>
      </c>
    </row>
    <row r="189" spans="1:7" x14ac:dyDescent="0.25">
      <c r="A189" s="11" t="s">
        <v>1032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1033</v>
      </c>
    </row>
    <row r="190" spans="1:7" x14ac:dyDescent="0.25">
      <c r="A190" s="11" t="s">
        <v>1032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1022</v>
      </c>
    </row>
    <row r="191" spans="1:7" x14ac:dyDescent="0.25">
      <c r="A191" s="11" t="s">
        <v>1038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1040</v>
      </c>
    </row>
    <row r="192" spans="1:7" x14ac:dyDescent="0.25">
      <c r="A192" s="11" t="s">
        <v>1066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1067</v>
      </c>
    </row>
    <row r="193" spans="1:7" x14ac:dyDescent="0.25">
      <c r="A193" s="11" t="s">
        <v>1077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1078</v>
      </c>
    </row>
    <row r="194" spans="1:7" x14ac:dyDescent="0.25">
      <c r="A194" s="11" t="s">
        <v>1084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1090</v>
      </c>
    </row>
    <row r="195" spans="1:7" x14ac:dyDescent="0.25">
      <c r="A195" s="11" t="s">
        <v>1084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1091</v>
      </c>
    </row>
    <row r="196" spans="1:7" x14ac:dyDescent="0.25">
      <c r="A196" s="11" t="s">
        <v>1084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1092</v>
      </c>
    </row>
    <row r="197" spans="1:7" x14ac:dyDescent="0.25">
      <c r="A197" s="11" t="s">
        <v>1155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1156</v>
      </c>
    </row>
    <row r="198" spans="1:7" x14ac:dyDescent="0.25">
      <c r="A198" s="105" t="s">
        <v>1165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1166</v>
      </c>
    </row>
    <row r="199" spans="1:7" x14ac:dyDescent="0.25">
      <c r="A199" s="105" t="s">
        <v>1165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1175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1177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1188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1192</v>
      </c>
    </row>
    <row r="203" spans="1:7" x14ac:dyDescent="0.25">
      <c r="A203" s="105" t="s">
        <v>1188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1193</v>
      </c>
    </row>
    <row r="204" spans="1:7" x14ac:dyDescent="0.25">
      <c r="A204" s="105" t="s">
        <v>1197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1198</v>
      </c>
    </row>
    <row r="205" spans="1:7" x14ac:dyDescent="0.25">
      <c r="A205" s="105" t="s">
        <v>1199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1204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1205</v>
      </c>
    </row>
    <row r="207" spans="1:7" x14ac:dyDescent="0.25">
      <c r="A207" s="105" t="s">
        <v>1207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1212</v>
      </c>
    </row>
    <row r="208" spans="1:7" x14ac:dyDescent="0.25">
      <c r="A208" s="105" t="s">
        <v>1213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1220</v>
      </c>
    </row>
    <row r="209" spans="1:7" x14ac:dyDescent="0.25">
      <c r="A209" s="105" t="s">
        <v>1229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1235</v>
      </c>
    </row>
    <row r="210" spans="1:7" x14ac:dyDescent="0.25">
      <c r="A210" s="105" t="s">
        <v>1229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1236</v>
      </c>
    </row>
    <row r="211" spans="1:7" x14ac:dyDescent="0.25">
      <c r="A211" s="105" t="s">
        <v>1238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1235</v>
      </c>
    </row>
    <row r="212" spans="1:7" x14ac:dyDescent="0.25">
      <c r="A212" s="105" t="s">
        <v>1241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1244</v>
      </c>
    </row>
    <row r="213" spans="1:7" x14ac:dyDescent="0.25">
      <c r="A213" s="105" t="s">
        <v>1247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1248</v>
      </c>
    </row>
    <row r="214" spans="1:7" x14ac:dyDescent="0.25">
      <c r="A214" s="105" t="s">
        <v>1245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1253</v>
      </c>
    </row>
    <row r="215" spans="1:7" x14ac:dyDescent="0.25">
      <c r="A215" s="105" t="s">
        <v>1260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1263</v>
      </c>
    </row>
    <row r="216" spans="1:7" x14ac:dyDescent="0.25">
      <c r="A216" s="105" t="s">
        <v>1260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1264</v>
      </c>
    </row>
    <row r="217" spans="1:7" x14ac:dyDescent="0.25">
      <c r="A217" s="105" t="s">
        <v>1260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1266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1267</v>
      </c>
    </row>
    <row r="219" spans="1:7" x14ac:dyDescent="0.25">
      <c r="A219" s="105" t="s">
        <v>1279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1280</v>
      </c>
    </row>
    <row r="220" spans="1:7" x14ac:dyDescent="0.25">
      <c r="A220" s="105" t="s">
        <v>1279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1281</v>
      </c>
    </row>
    <row r="221" spans="1:7" x14ac:dyDescent="0.25">
      <c r="A221" s="105" t="s">
        <v>3697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3698</v>
      </c>
    </row>
    <row r="222" spans="1:7" x14ac:dyDescent="0.25">
      <c r="A222" s="105" t="s">
        <v>3699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3701</v>
      </c>
    </row>
    <row r="223" spans="1:7" x14ac:dyDescent="0.25">
      <c r="A223" s="105" t="s">
        <v>3709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3712</v>
      </c>
    </row>
    <row r="224" spans="1:7" x14ac:dyDescent="0.25">
      <c r="A224" s="11" t="s">
        <v>3716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1235</v>
      </c>
    </row>
    <row r="225" spans="1:7" x14ac:dyDescent="0.25">
      <c r="A225" s="11" t="s">
        <v>3732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3733</v>
      </c>
    </row>
    <row r="226" spans="1:7" x14ac:dyDescent="0.25">
      <c r="A226" s="105" t="s">
        <v>3738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3738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3739</v>
      </c>
    </row>
    <row r="228" spans="1:7" x14ac:dyDescent="0.25">
      <c r="A228" s="105" t="s">
        <v>3742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3743</v>
      </c>
    </row>
    <row r="229" spans="1:7" x14ac:dyDescent="0.25">
      <c r="A229" s="105" t="s">
        <v>3742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3745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3746</v>
      </c>
    </row>
    <row r="231" spans="1:7" x14ac:dyDescent="0.25">
      <c r="A231" s="105" t="s">
        <v>3753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3755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3756</v>
      </c>
    </row>
    <row r="233" spans="1:7" x14ac:dyDescent="0.25">
      <c r="A233" s="105" t="s">
        <v>3755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3762</v>
      </c>
    </row>
    <row r="234" spans="1:7" x14ac:dyDescent="0.25">
      <c r="A234" s="105" t="s">
        <v>3769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3795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3796</v>
      </c>
    </row>
    <row r="236" spans="1:7" x14ac:dyDescent="0.25">
      <c r="A236" s="105" t="s">
        <v>1176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3797</v>
      </c>
    </row>
    <row r="237" spans="1:7" x14ac:dyDescent="0.25">
      <c r="A237" s="105" t="s">
        <v>1176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3799</v>
      </c>
    </row>
    <row r="238" spans="1:7" x14ac:dyDescent="0.25">
      <c r="A238" s="105" t="s">
        <v>1176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3802</v>
      </c>
    </row>
    <row r="239" spans="1:7" x14ac:dyDescent="0.25">
      <c r="A239" s="105" t="s">
        <v>3803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3804</v>
      </c>
    </row>
    <row r="240" spans="1:7" x14ac:dyDescent="0.25">
      <c r="A240" s="105" t="s">
        <v>3803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3805</v>
      </c>
    </row>
    <row r="241" spans="1:7" x14ac:dyDescent="0.25">
      <c r="A241" s="105" t="s">
        <v>3820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3821</v>
      </c>
    </row>
    <row r="242" spans="1:7" x14ac:dyDescent="0.25">
      <c r="A242" s="105" t="s">
        <v>3830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3832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3833</v>
      </c>
    </row>
    <row r="244" spans="1:7" x14ac:dyDescent="0.25">
      <c r="A244" s="105" t="s">
        <v>3942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3943</v>
      </c>
    </row>
    <row r="245" spans="1:7" x14ac:dyDescent="0.25">
      <c r="A245" s="105" t="s">
        <v>3951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3952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3954</v>
      </c>
    </row>
    <row r="247" spans="1:7" x14ac:dyDescent="0.25">
      <c r="A247" s="105" t="s">
        <v>3952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3954</v>
      </c>
    </row>
    <row r="248" spans="1:7" x14ac:dyDescent="0.25">
      <c r="A248" s="105" t="s">
        <v>3958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3959</v>
      </c>
    </row>
    <row r="249" spans="1:7" x14ac:dyDescent="0.25">
      <c r="A249" s="74" t="s">
        <v>3977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3966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3930</v>
      </c>
    </row>
    <row r="251" spans="1:7" x14ac:dyDescent="0.25">
      <c r="A251" s="105" t="s">
        <v>3971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3974</v>
      </c>
    </row>
    <row r="252" spans="1:7" x14ac:dyDescent="0.25">
      <c r="A252" s="105" t="s">
        <v>3971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3975</v>
      </c>
    </row>
    <row r="253" spans="1:7" x14ac:dyDescent="0.25">
      <c r="A253" s="105" t="s">
        <v>3971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3975</v>
      </c>
    </row>
    <row r="254" spans="1:7" x14ac:dyDescent="0.25">
      <c r="A254" s="105" t="s">
        <v>3971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3978</v>
      </c>
    </row>
    <row r="255" spans="1:7" x14ac:dyDescent="0.25">
      <c r="A255" s="105" t="s">
        <v>3980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3982</v>
      </c>
    </row>
    <row r="256" spans="1:7" x14ac:dyDescent="0.25">
      <c r="A256" s="105" t="s">
        <v>3980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3796</v>
      </c>
    </row>
    <row r="257" spans="1:7" x14ac:dyDescent="0.25">
      <c r="A257" s="105" t="s">
        <v>3984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3985</v>
      </c>
    </row>
    <row r="258" spans="1:7" x14ac:dyDescent="0.25">
      <c r="A258" s="105" t="s">
        <v>3984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3986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3976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3765</v>
      </c>
      <c r="I1" t="s">
        <v>3771</v>
      </c>
    </row>
    <row r="2" spans="1:12" x14ac:dyDescent="0.25">
      <c r="A2">
        <v>1</v>
      </c>
      <c r="B2" t="s">
        <v>3759</v>
      </c>
      <c r="G2" t="s">
        <v>3763</v>
      </c>
      <c r="H2" t="s">
        <v>3766</v>
      </c>
      <c r="I2" t="s">
        <v>3772</v>
      </c>
    </row>
    <row r="3" spans="1:12" x14ac:dyDescent="0.25">
      <c r="A3">
        <v>2</v>
      </c>
      <c r="B3" t="s">
        <v>3760</v>
      </c>
      <c r="G3" s="129"/>
      <c r="H3" t="s">
        <v>3767</v>
      </c>
      <c r="I3" t="s">
        <v>3773</v>
      </c>
    </row>
    <row r="4" spans="1:12" x14ac:dyDescent="0.25">
      <c r="A4">
        <v>3</v>
      </c>
      <c r="B4" t="s">
        <v>3761</v>
      </c>
      <c r="H4" t="s">
        <v>3768</v>
      </c>
      <c r="L4" s="129"/>
    </row>
    <row r="5" spans="1:12" x14ac:dyDescent="0.25">
      <c r="H5" t="s">
        <v>3770</v>
      </c>
    </row>
    <row r="6" spans="1:12" x14ac:dyDescent="0.25">
      <c r="B6" s="129" t="s">
        <v>3764</v>
      </c>
      <c r="H6" t="s">
        <v>3774</v>
      </c>
    </row>
    <row r="7" spans="1:12" x14ac:dyDescent="0.25">
      <c r="H7" t="s">
        <v>3775</v>
      </c>
    </row>
    <row r="8" spans="1:12" x14ac:dyDescent="0.25">
      <c r="H8" t="s">
        <v>3776</v>
      </c>
    </row>
    <row r="9" spans="1:12" x14ac:dyDescent="0.25">
      <c r="H9" t="s">
        <v>3789</v>
      </c>
    </row>
    <row r="10" spans="1:12" x14ac:dyDescent="0.25">
      <c r="H10" t="s">
        <v>3790</v>
      </c>
    </row>
    <row r="11" spans="1:12" x14ac:dyDescent="0.25">
      <c r="H11" t="s">
        <v>3791</v>
      </c>
    </row>
    <row r="12" spans="1:12" x14ac:dyDescent="0.25">
      <c r="H12" t="s">
        <v>3793</v>
      </c>
    </row>
    <row r="13" spans="1:12" x14ac:dyDescent="0.25">
      <c r="H13" t="s">
        <v>3792</v>
      </c>
    </row>
    <row r="18" spans="1:8" x14ac:dyDescent="0.25">
      <c r="A18" s="105" t="s">
        <v>3777</v>
      </c>
      <c r="B18" s="105"/>
      <c r="C18" s="105"/>
      <c r="D18" s="105"/>
    </row>
    <row r="19" spans="1:8" x14ac:dyDescent="0.25">
      <c r="A19" s="105">
        <v>1</v>
      </c>
      <c r="B19" s="105" t="s">
        <v>3778</v>
      </c>
      <c r="C19" s="105" t="s">
        <v>3780</v>
      </c>
      <c r="D19" s="105"/>
    </row>
    <row r="20" spans="1:8" x14ac:dyDescent="0.25">
      <c r="A20" s="105">
        <v>2</v>
      </c>
      <c r="B20" s="105" t="s">
        <v>3779</v>
      </c>
      <c r="C20" s="105" t="s">
        <v>3781</v>
      </c>
      <c r="D20" s="105" t="s">
        <v>3782</v>
      </c>
      <c r="G20" t="s">
        <v>3783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3787</v>
      </c>
      <c r="H38" s="22"/>
    </row>
    <row r="39" spans="1:8" x14ac:dyDescent="0.25">
      <c r="A39">
        <v>1</v>
      </c>
      <c r="B39" t="s">
        <v>3784</v>
      </c>
    </row>
    <row r="40" spans="1:8" x14ac:dyDescent="0.25">
      <c r="A40">
        <v>2</v>
      </c>
      <c r="B40" t="s">
        <v>3788</v>
      </c>
    </row>
    <row r="41" spans="1:8" x14ac:dyDescent="0.25">
      <c r="A41">
        <v>3</v>
      </c>
      <c r="B41" t="s">
        <v>3785</v>
      </c>
    </row>
    <row r="42" spans="1:8" x14ac:dyDescent="0.25">
      <c r="A42">
        <v>4</v>
      </c>
      <c r="B42" t="s">
        <v>3786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1274</v>
      </c>
      <c r="B1" t="s">
        <v>1275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1382</v>
      </c>
      <c r="B1" s="102" t="s">
        <v>1383</v>
      </c>
      <c r="C1" s="102" t="s">
        <v>1384</v>
      </c>
      <c r="D1" s="102" t="s">
        <v>1385</v>
      </c>
      <c r="E1" s="102" t="s">
        <v>1386</v>
      </c>
      <c r="F1" s="102" t="s">
        <v>1387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3847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3848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3849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3850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3851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3852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3853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3854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3855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3856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3857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3858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3859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3860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3861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3862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3863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3864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3865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3866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3867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3868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3869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3870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3871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3872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3873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3874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3875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3876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3877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3878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3879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3880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3881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3882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3883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3884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3885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3886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3887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3888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3889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1282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1283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1284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1285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1286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1287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1288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1289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1290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1291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1292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1293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1294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1295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1296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1297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1298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1299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1300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1301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1302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1303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1304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1305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1306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1307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1308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1309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1310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1311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1312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1313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1314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1315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1316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1317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1318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1319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1320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1321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1322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1323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1324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1325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1326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1327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1328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1329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1330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1331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1332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1333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1334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1335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1336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1337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1338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1339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1340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1341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1342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1343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1344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1345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1346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1347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1348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1349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1350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1351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1352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1353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1354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1355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1356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1357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1358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1359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1360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1361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1362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1363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1364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1365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1366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1367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1368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1369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1370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1371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1372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1373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1374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1375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1376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1377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1378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1379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1380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1381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1388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1389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1390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1391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1392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1393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1394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1395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1396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1397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1398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1399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1400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1401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1402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1403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1404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1405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1406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1407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1408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1409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1410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1411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1412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1413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1414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1415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1416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1417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1418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1419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1420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1421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1422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1423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1424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1425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1426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1427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1428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1429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1430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1431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1432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1433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1434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1435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1436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1437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1438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1439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1440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1441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1442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1443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1444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1445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1446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1447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1448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1449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1450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1451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1452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1453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1454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1455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1456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1457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1458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1459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1460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1461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1462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1463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1464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1465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1466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1467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1468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1469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1470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1471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1472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1473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1474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1475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1476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1477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1478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1479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1480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1481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1482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1483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1484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1485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1486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1487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1488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1489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1490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1491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1492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1493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1494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1495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1496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1497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1498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1499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1500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1501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1502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1503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1504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1505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1506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1507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1508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1509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1510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1511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1512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1513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1514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1515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1516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1517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1518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1519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1520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1521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1522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1523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1524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1525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1526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1527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1528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1529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1530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1531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1532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1533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1534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1535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1536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1537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1538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1539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1540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1541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1542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1543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1544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1545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1546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1547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1548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1549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1550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1551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1552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1553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1554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1555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1556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1557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1558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1559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1560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1561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1562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1563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1564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1565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1566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1567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1568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1569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1570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1571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1572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1573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1574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1575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1576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1577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1578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1579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1580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1581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1582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1583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1584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1585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1586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1587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1588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1589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1590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1591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1592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1593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1594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1595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1596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1597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1598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1599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1600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1601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1602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1603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1604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1605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1606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1607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1608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1609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1610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1611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1612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1613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1614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1615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1616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1617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1618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1619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1620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1621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1622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1623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1624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1625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1626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1627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1628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1629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1630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1631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1632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1633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1634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1635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1636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1637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1638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1639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1640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1641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1642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1643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1644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1645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1646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1647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1648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1649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1650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1651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1652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1653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1654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1655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1656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1657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1658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1659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1660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1661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1662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1663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1664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1665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1666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1667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1668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1669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1670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1671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1672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1673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1674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1675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1676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1677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1678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1679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1680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1681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1682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1683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1684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1685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1686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1687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1688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1689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1690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1691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1692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1693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1694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1695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1696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1697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1698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1699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1700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1701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1702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1703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1704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1705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1706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1707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1708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1709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1710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1711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1712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1713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1714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1715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1716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1717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1718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1719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1720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1721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1722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1723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1724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1725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1726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1727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1728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1729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1730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1731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1732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1733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1734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1735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1736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1737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1738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1739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1740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1741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1742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1743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1744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1745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1746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1747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1748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1749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1750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1751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1752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1753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1754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1755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1756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1757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1758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1759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1760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1761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1762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1763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1764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1765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1766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1767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1768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1769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1770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1771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1772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1773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1774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1775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1776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1777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1778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1779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1780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1781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1782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1783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1784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1785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1786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1787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1788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1789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1790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1791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1792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1793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1794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1795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1796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1797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1798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1799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1800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1801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1802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1803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1804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1805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1806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1807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1808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1809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1810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1811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1812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1813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1814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1815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1816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1817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1818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1819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1820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1821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1822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1823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1824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1825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1826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1827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1828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1829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1830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1831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1832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1833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1834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1835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1836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1837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1838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1839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1840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1841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1842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1843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1844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1845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1846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1847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1848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1849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1850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1851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1852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1853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1854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1855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1856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1857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1858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1859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1860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1861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1862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1863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1864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1865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1866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1867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1868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1869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1870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1871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1872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1873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1874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1875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1876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1877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1878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1879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1880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1881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1882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1883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1884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1885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1886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1887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1888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1889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1890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1891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1892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1893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1894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1895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1896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1897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1898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1899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1900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1901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1902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1903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1904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1905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1906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1907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1908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1909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1910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1911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1912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1913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1914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1915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1916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1917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1918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1919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1920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1921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1922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1923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1924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1925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1926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1927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1928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1929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1930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1931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1932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1933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1934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1935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1936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1937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1938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1939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1940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1941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1942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1943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1944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1945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1946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1947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1948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1949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1950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1951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1952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1953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1954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1955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1956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1957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1958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1959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1960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1961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1962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1963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1964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1965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1966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1967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1968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1969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1970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1971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1972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1973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1974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1975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1976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1977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1978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1979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1980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1981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1982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1983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1984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1985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1986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1987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1988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1989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1990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1991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1992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1993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1994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1995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1996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1997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1998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1999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2000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2001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2002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2003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2004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2005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2006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2007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2008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2009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2010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2011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2012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2013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2014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2015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2016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2017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2018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2019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2020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2021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2022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2023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2024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2025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2026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2027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2028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2029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2030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2031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2032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2033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2034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2035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2036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2037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2038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2039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2040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2041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2042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2043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2044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2045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2046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2047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2048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2049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2050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2051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2052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2053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2054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2055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2056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2057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2058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2059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2060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2061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2062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2063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2064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2065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2066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2067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2068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2069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2070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2071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2072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2073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2074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2075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2076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2077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2078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2079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2080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2081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2082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2083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2084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2085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2086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2087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2088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2089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2090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2091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2092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2093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2094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2095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2096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2097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2098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2099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2100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2101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2102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2103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2104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2105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2106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2107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2108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2109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2110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2111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2112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2113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2114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2115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2116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2117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2118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2119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2120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2121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2122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2123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2124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2125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2126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2127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2128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2129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2130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2131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2132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2133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2134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2135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2136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2137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2138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2139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2140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2141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2142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2143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2144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2145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2146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2147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2148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2149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2150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2151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2152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2153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2154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2155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2156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2157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2158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2159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2160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2161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2162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2163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2164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2165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2166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2167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2168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2169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2170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2171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2172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2173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2174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2175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2176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2177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2178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2179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2180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2181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2182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2183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2184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2185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2186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2187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2188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2189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2190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2191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2192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2193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2194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2195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2196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2197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2198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2199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2200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2201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2202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2203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2204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2205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2206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2207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2208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2209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2210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2211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2212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2213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2214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2215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2216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2217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2218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2219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2220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2221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2222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2223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2224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2225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2226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2227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2228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2229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2230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2231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2232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2233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2234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2235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2236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2237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2238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2239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2240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2241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2242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2243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2244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2245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2246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2247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2248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2249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2250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2251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2252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2253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2254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2255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2256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2257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2258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2259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2260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2261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2262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2263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2264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2265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2266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2267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2268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2269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2270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2271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2272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2273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2274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2275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2276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2277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2278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2279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2280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2281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2282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2283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2284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2285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2286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2287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2288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2289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2290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2291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2292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2293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2294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2295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2296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2297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2298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2299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2300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2301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2302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2303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2304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2305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2306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2307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2308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2309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2310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2311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2312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2313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2314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2315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2316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2317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2318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2319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2320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2321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2322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2323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2324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2325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2326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2327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2328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2329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2330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2331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2332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2333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2334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2335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2336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2337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2338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2339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2340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2341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2342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2343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2344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2345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2346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2347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2348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2349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2350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2351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2352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2353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2354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2355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2356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2357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2358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2359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2360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2361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2362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2363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2364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2365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2366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2367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2368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2369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2370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2371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2372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2373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2374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2375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2376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2377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2378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2379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2380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2381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2382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2383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2384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2385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2386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2387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2388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2389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2390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2391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2392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2393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2394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2395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2396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2397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2398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2399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2400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2401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2402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2403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2404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2405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2406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2407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2408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2409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2410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2411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2412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2413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2414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2415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2416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2417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2418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2419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2420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2421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2422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2423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2424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2425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2426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2427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2428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2429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2430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2431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2432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2433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2434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2435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2436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2437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2438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2439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2440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2441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2442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2443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2444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2445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2446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2447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2448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2449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2450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2451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2452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2453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2454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2455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2456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2457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2458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2459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2460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2461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2462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2463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2464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2465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2466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2467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2468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2469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2470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2471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2472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2473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2474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2475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2476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2477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2478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2479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2480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2481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2482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2483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2484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2485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2486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2487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2488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2489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2490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2491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2492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2493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2494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2495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2496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2497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2498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2499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2500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2501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2502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2503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2504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2505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2506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2507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2508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2509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2510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2511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2512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2513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2514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2515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2516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2517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2518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2519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2520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2521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2522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2523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2524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2525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2526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2527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2528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2529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2530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2531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2532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2533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2534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2535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2536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2537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2538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2539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2540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2541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2542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2543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2544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2545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2546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2547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2548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2549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2550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2551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2552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2553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2554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2555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2556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2557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2558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2559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2560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2561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2562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2563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2564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2565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2566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2567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2568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2569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2570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2571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2572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2573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2574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2575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2576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2577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2578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2579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2580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2581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2582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2583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2584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2585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2586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2587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2588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2589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2590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2591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2592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2593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2594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2595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2596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2597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2598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2599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2600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2601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2602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2603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2604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2605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2606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2607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2608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2609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2610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2611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2612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2613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2614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2615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2616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2617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2618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2619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2620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2621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2622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2623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2624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2625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2626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2627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2628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2629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2630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2631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2632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2633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2634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2635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2636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2637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2638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2639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2640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2641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2642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2643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2644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2645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2646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2647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2648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2649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2650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2651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2652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2653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2654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2655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2656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2657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2658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2659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2660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2661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2662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2663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2664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2665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2666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2667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2668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2669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2670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2671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2672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2673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2674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2675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2676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2677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2678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2679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2680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2681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2682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2683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2684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2685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2686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2687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2688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2689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2690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2691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2692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2693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2694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2695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2696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2697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2698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2699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2700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2701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2702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2703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2704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2705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2706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2707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2708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2709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2710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2711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2712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2713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2714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2715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2716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2717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2718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2719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2720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2721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2722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2723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2724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2725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2726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2727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2728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2729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2730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2731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2732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2733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2734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2735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2736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2737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2738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2739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2740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2741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2742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2743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2744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2745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2746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2747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2748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2749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2750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2751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2752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2753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2754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2755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2756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2757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2758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2759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2760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2761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2762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2763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2764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2765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2766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2767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2768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2769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2770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2771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2772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2773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2774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2775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2776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2777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2778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2779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2780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2781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2782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2783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2784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2785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2786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2787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2788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2789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2790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2791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2792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2793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2794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2795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2796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2797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2798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2799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2800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2801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2802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2803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2804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2805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2806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2807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2808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2809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2810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2811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2812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2813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2814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2815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2816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2817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2818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2819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2820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2821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2822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2823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2824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2825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2826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2827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2828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2829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2830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2831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2832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2833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2834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2835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2836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2837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2838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2839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2840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2841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2842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2843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2844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2845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2846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2847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2848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2849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2850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2851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2852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2853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2854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2855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2856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2857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2858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2859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2860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2861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2862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2863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2864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2865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2866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2867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2868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2869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2870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2871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2872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2873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2874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2875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2876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2877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2878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2879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2880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2881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2882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2883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2884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2885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2886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2887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2888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2889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2890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2891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2892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2893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2894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2895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2896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2897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2898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2899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2900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2901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2902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2903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2904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2905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2906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2907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2908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2909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2910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2911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2912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2913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2914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2915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2916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2917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2918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2919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2920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2921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2922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2923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2924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2925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2926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2927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2928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2929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2930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2931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2932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2933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2934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2935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2936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2937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2938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2939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2940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2941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2942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2943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2944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2945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2946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2947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2948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2949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2950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2951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2952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2953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2954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2955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2956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2957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2958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2959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2960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2961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2962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2963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2964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2965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2966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2967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2968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2969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2970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2971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2972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2973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2974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2975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2976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2977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2978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2979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2980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2981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2982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2983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2984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2985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2986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2987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2988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2989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2990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2991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2992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2993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2994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2995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2996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2997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2998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2999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3000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3001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3002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3003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3004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3005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3006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3007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3008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3009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3010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3011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3012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3013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3014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3015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3016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3017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3018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3019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3020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3021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3022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3023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3024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3025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3026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3027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3028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3029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3030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3031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3032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3033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3034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3035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3036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3037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3038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3039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3040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3041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3042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3043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3044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3045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3046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3047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3048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3049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3050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3051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3052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3053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3054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3055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3056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3057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3058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3059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3060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3061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3062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3063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3064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3065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3066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3067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3068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3069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3070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3071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3072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3073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3074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3075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3076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3077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3078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3079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3080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3081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3082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3083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3084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3085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3086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3087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3088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3089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3090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3091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3092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3093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3094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3095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3096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3097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3098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3099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3100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3101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3102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3103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3104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3105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3106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3107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3108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3109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3110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3111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3112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3113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3114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3115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3116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3117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3118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3119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3120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3121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3122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3123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3124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3125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3126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3127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3128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3129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3130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3131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3132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3133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3134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3135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3136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3137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3138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3139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3140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3141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3142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3143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3144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3145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3146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3147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3148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3149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3150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3151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3152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3153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3154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3155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3156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3157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3158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3159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3160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3161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3162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3163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3164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3165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3166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3167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3168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3169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3170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3171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3172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3173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3174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3175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3176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3177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3178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3179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3180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3181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3182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3183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3184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3185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3186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3187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3188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3189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3190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3191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3192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3193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3194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3195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3196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3197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3198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3199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3200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3201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3202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3203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3204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3205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3206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3207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3208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3209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3210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3211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3212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3213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3214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3215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3216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3217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3218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3219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3220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3221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3222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3223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3224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3225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3226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3227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3228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3229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3230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3231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3232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3233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3234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3235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3236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3237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3238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3239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3240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3241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3242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3243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3244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3245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3246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3247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3248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3249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3250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3251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3252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3253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3254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3255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3256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3257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3258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3259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3260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3261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3262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3263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3264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3265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3266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3267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3268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3269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3270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3271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3272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3273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3274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3275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3276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3277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3278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3279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3280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3281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3282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3283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3284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3285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3286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3287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3288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3289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3290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3291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3292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3293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3294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3295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3296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3297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3298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3299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3300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3301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3302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3303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3304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3305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3306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3307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3308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3309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3310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3311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3312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3313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3314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3315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3316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3317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3318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3319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3320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3321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3322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3323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3324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3325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3326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3327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3328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3329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3330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3331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3332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3333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3334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3335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3336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3337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3338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3339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3340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3341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3342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3343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3344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3345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3346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3347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3348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3349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3350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3351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3352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3353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3354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3355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3356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3357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3358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3359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3360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3361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3362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3363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3364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3365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3366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3367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3368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3369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3370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3371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3372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3373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3374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3375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3376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3377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3378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3379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3380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3381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3382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3383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3384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3385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3386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3387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3388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3389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3390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3391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3392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3393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3394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3395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3396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3397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3398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3399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3400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3401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3402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3403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3404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3405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3406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3407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3408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3409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3410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3411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3412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3413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3414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3415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3416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3417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3418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3419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3420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3421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3422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3423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3424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3425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3426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3427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3428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3429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3430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3431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3432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3433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3434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3435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3436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3437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3438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3439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3440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3441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3442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3443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3444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3445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3446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3447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3448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3449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3450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3451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3452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3453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3454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3455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3456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3457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3458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3459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3460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3461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3462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3463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3464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3465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3466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3467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3468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3469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3470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3471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3472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3473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3474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3475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3476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3477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3478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3479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3480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3481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3482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3483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3484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3485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3486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3487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3488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3489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3490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3491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3492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3493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3494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3495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3496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3497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3498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3499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3500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3501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3502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3503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3504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3505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3506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3507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3508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3509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3510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3511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3512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3513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3514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3515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3516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3517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3518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3519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3520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3521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3522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3523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3524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3525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3526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3527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3528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3529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3530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3531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3532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3533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3534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3535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3536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3537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3538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3539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3540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3541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3542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3543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3544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3545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3546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3547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3548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3549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3550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3551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3552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3553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3554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3555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3556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3557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3558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3559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3560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3561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3562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3563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3564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3565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3566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3567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3568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3569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3570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3571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3572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3573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3574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3575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3576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3577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3578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3579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3580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3581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3582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3583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3584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3585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3586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3587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3588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3589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3590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3591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3592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3593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3594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3595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3596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3597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3598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3599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3600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3601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3602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3603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3604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3605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3606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3607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3608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3609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3610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3611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3612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3613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3614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3615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3616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3617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3618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3619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3620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3621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3622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3623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3624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3625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3626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3627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3628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3629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3630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3631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3632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3633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3634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3635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3636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3637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3638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3639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3640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3641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3642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3643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3644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3645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3646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3647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3648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3649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3650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3651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3652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3653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3654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3655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3656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3657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3658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3659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3660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3661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3662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3663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3664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3665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3666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3667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3668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3669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3670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3671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3672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3673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3674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3675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3676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3677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3678</v>
      </c>
      <c r="B1" s="102" t="s">
        <v>1387</v>
      </c>
      <c r="C1" s="102" t="s">
        <v>1386</v>
      </c>
      <c r="D1" s="102" t="s">
        <v>1382</v>
      </c>
      <c r="E1" s="102" t="s">
        <v>1383</v>
      </c>
      <c r="F1" s="102" t="s">
        <v>1384</v>
      </c>
      <c r="G1" s="102" t="s">
        <v>1385</v>
      </c>
      <c r="H1" s="102"/>
      <c r="I1" s="102" t="s">
        <v>3686</v>
      </c>
      <c r="J1" s="102" t="s">
        <v>1142</v>
      </c>
      <c r="K1" s="102" t="s">
        <v>1273</v>
      </c>
      <c r="L1" s="102" t="s">
        <v>3687</v>
      </c>
      <c r="M1" s="102" t="s">
        <v>3688</v>
      </c>
      <c r="N1" s="102" t="s">
        <v>191</v>
      </c>
      <c r="O1" s="102" t="s">
        <v>3691</v>
      </c>
      <c r="P1" s="147" t="s">
        <v>3692</v>
      </c>
      <c r="Q1" s="147" t="s">
        <v>3693</v>
      </c>
      <c r="R1" s="102" t="s">
        <v>941</v>
      </c>
      <c r="S1" s="102" t="s">
        <v>3689</v>
      </c>
      <c r="T1" s="102" t="s">
        <v>1142</v>
      </c>
      <c r="U1" s="102" t="s">
        <v>1273</v>
      </c>
      <c r="V1" s="102" t="s">
        <v>3690</v>
      </c>
      <c r="W1" s="102" t="s">
        <v>3688</v>
      </c>
      <c r="X1" s="102" t="s">
        <v>191</v>
      </c>
    </row>
    <row r="2" spans="1:35" x14ac:dyDescent="0.25">
      <c r="A2" s="102">
        <v>1</v>
      </c>
      <c r="B2" s="144" t="s">
        <v>3677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3676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3675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3679</v>
      </c>
      <c r="AC4" s="102" t="s">
        <v>3680</v>
      </c>
      <c r="AD4" s="102" t="s">
        <v>3681</v>
      </c>
      <c r="AE4" s="102" t="s">
        <v>3682</v>
      </c>
      <c r="AH4" s="102" t="s">
        <v>3683</v>
      </c>
      <c r="AI4" s="116">
        <v>100000000</v>
      </c>
    </row>
    <row r="5" spans="1:35" x14ac:dyDescent="0.25">
      <c r="A5" s="102">
        <v>4</v>
      </c>
      <c r="B5" s="144" t="s">
        <v>3674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3673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3684</v>
      </c>
      <c r="AI6" s="102">
        <v>25</v>
      </c>
    </row>
    <row r="7" spans="1:35" x14ac:dyDescent="0.25">
      <c r="A7" s="102">
        <v>6</v>
      </c>
      <c r="B7" s="144" t="s">
        <v>3672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3671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3670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3669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3685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3668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3667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3666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3665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3664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3663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3662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3661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3660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3659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3658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3657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3656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3655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3654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3653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3652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3651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3650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3649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3648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3647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3646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3645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3644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3643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3642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3641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3640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3639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3638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3637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3636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3635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3634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3633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3632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3631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3630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3629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3628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3627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3626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3625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3624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3623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3622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3621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3620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3619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3618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3617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3616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3615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3614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3613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3612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3611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3610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3609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3608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3607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3606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3605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3604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3603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3602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3601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3600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3599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3598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3597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3596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3595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3594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3593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3592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3591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3590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3589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3588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3587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3586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3585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3584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3583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3582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3581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3580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3579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3578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3577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3576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3575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3574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3573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3572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3571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3570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3569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3568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3567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3566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3565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3564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3563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3562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3561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3560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3559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3558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3557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3556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3555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3554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3553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3552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3551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3550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3549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3548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3547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3546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3545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3544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3543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3542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3541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3540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3539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3538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3537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3536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3535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3534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3533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3532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3531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3530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3529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3528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3527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3526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3525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3524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3523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3522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3521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3520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3519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3518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3517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3516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3515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3514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3513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3512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3511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3510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3509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3508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3507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3506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3505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3504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3503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3502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3501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3500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3499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3498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3497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3496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3495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3494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3493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3492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3491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3490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3489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3488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3487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3486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3485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3484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3483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3482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3481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3480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3479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3478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3477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3476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3475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3474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3473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3472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3471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3470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3469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3468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3467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3466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3465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3464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3463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3462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3461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3460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3459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3458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3457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3456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3455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3454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3453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3452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3451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3450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3449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3448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3447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3446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3445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3444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3443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3442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3441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3440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3439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3438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3437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3436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3435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3434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3433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3432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3431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3430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3429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3428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3427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3426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3425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3424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3423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3422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3421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3420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3419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3418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3417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3416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3415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3414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3413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3412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3411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3410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3409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3408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3407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3406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3405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3404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3403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3402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3401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3400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3399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3398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3397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3396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3395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3394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3393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3392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3391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3390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3389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3388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3387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3386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3385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3384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3383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3382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3381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3380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3379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3378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3377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3376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3375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3374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3373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3372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3371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3370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3369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3368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3367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3366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3365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3364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3363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3362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3361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3360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3359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3358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3357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3356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3355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3354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3353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3352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3351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3350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3349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3348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3347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3346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3345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3344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3343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3342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3341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3340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3339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3338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3337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3336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3335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3334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3333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3332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3331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3330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3329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3328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3327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3326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3325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3324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3323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3322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3321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3320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3319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3318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3317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3316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3315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3314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3313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3312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3311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3310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3309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3308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3307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3306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3305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3304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3303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3302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3301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3300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3299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3298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3297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3296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3295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3294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3293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3292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3291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3290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3289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3288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3287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3286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3285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3284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3283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3282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3281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3280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3279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3278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3277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3276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3275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3274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3273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3272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3271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3270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3269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3268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3267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3266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3265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3264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3263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3262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3261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3260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3259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3258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3257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3256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3255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3254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3253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3252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3251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3250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3249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3248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3247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3246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3245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3244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3243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3242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3241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3240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3239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3238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3237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3236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3235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3234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3233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3232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3231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3230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3229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3228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3227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3226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3225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3224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3223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3222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3221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3220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3219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3218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3217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3216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3215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3214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3213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3212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3211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3210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3209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3208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3207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3206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3205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3204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3203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3202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3201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3200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3199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3198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3197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3196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3195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3194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3193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3192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3191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3190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3189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3188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3187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3186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3185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3184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3183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3182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3181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3180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3179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3178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3177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3176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3175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3174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3173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3172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3171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3170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3169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3168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3167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3166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3165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3164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3163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3162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3161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3160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3159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3158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3157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3156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3155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3154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3153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3152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3151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3150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3149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3148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3147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3146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3145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3144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3143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3142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3141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3140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3139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3138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3137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3136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3135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3134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3133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3132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3131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3130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3129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3128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3127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3126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3125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3124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3123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3122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3121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3120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3119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3118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3117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3116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3115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3114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3113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3112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3111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3110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3109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3108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3107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3106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3105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3104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3103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3102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3101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3100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3099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3098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3097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3096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3095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3094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3093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3092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3091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3090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3089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3088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3087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3086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3085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3084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3083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3082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3081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3080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3079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3078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3077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3076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3075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3074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3073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3072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3071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3070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3069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3068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3067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3066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3065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3064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3063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3062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3061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3060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3059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3058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3057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3056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3055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3054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3053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3052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3051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3050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3049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3048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3047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3046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3045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3044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3043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3042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3041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3040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3039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3038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3037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3036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3035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3034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3033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3032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3031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3030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3029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3028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3027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3026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3025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3024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3023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3022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3021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3020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3019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3018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3017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3016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3015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3014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3013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3012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3011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3010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3009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3008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3007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3006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3005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3004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3003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3002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3001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3000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2999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2998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2997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2996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2995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2994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2993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2992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2991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2990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2989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2988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2987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2986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2985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2984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2983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2982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2981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2980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2979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2978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2977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2976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2975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2974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2973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2972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2971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2970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2969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2968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2967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2966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2965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2964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2963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2962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2961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2960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2959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2958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2957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2956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2955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2954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2953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2952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2951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2950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2949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2948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2947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2946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2945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2944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2943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2942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2941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2940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2939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2938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2937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2936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2935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2934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2933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2932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2931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2930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2929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2928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2927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2926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2925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2924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2923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2922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2921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2920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2919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2918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2917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2916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2915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2914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2913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2912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2911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2910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2909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2908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2907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2906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2905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2904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2903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2902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2901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2900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2899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2898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2897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2896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2895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2894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2893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2892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2891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2890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2889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2888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2887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2886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2885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2884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2883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2882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2881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2880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2879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2878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2877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2876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2875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2874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2873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2872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2871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2870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2869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2868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2867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2866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2865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2864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2863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2862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2861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2860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2859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2858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2857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2856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2855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2854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2853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2852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2851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2850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2849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2848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2847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2846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2845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2844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2843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2842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2841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2840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2839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2838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2837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2836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2835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2834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2833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2832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2831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2830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2829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2828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2827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2826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2825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2824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2823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2822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2821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2820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2819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2818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2817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2816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2815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2814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2813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2812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2811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2810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2809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2808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2807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2806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2805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2804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2803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2802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2801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2800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2799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2798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2797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2796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2795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2794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2793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2792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2791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2790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2789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2788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2787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2786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2785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2784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2783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2782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2781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2780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2779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2778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2777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2776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2775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2774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2773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2772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2771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2770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2769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2768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2767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2766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2765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2764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2763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2762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2761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2760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2759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2758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2757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2756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2755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2754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2753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2752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2751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2750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2749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2748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2747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2746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2745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2744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2743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2742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2741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2740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2739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2738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2737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2736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2735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2734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2733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2732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2731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2730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2729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2728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2727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2726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2725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2724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2723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2722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2721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2720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2719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2718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2717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2716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2715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2714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2713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2712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2711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2710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2709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2708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2707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2706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2705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2704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2703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2702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2701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2700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2699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2698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2697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2696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2695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2694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2693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2692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2691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2690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2689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2688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2687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2686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2685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2684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2683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2682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2681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2680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2679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2678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2677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2676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2675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2674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2673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2672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2671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2670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2669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2668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2667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2666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2665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2664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2663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2662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2661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2660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2659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2658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2657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2656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2655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2654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2653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2652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2651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2650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2649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2648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2647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2646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2645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2644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2643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2642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2641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2640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2639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2638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2637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2636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2635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2634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2633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2632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2631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2630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2629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2628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2627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2626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2625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2624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2623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2622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2621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2620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2619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2618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2617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2616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2615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2614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2613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2612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2611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2610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2609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2608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2607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2606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2605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2604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2603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2602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2601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2600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2599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2598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2597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2596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2595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2594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2593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2592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2591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2590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2589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2588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2587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2586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2585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2584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2583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2582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2581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2580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2579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2578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2577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2576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2575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2574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2573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2572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2571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2570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2569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2568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2567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2566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2565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2564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2563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2562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2561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2560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2559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2558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2557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2556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2555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2554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2553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2552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2551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2550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2549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2548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2547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2546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2545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2544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2543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2542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2541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2540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2539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2538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2537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2536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2535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2534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2533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2532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2531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2530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2529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2528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2527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2526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2525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2524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2523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2522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2521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2520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2519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2518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2517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2516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2515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2514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2513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2512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2511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2510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2509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2508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2507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2506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2505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2504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2503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2502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2501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2500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2499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2498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2497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2496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2495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2494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2493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2492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2491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2490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2489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2488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2487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2486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2485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2484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2483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2482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2481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2480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2479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2478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2477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2476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2475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2474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2473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2472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2471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2470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2469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2468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2467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2466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2465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2464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2463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2462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2461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2460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2459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2458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2457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2456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2455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2454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2453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2452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2451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2450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2449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2448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2447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2446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2445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2444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2443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2442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2441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2440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2439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2438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2437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2436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2435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2434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2433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2432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2431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2430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2429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2428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2427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2426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2425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2424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2423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2422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2421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2420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2419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2418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2417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2416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2415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2414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2413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2412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2411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2410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2409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2408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2407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2406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2405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2404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2403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2402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2401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2400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2399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2398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2397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2396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2395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2394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2393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2392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2391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2390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2389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2388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2387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2386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2385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2384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2383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2382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2381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2380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2379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2378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2377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2376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2375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2374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2373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2372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2371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2370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2369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2368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2367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2366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2365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2364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2363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2362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2361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2360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2359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2358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2357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2356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2355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2354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2353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2352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2351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2350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2349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2348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2347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2346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2345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2344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2343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2342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2341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2340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2339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2338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2337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2336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2335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2334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2333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2332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2331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2330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2329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2328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2327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2326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2325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2324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2323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2322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2321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2320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2319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2318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2317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2316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2315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2314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2313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2312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2311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2310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2309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2308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2307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2306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2305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2304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2303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2302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2301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2300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2299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2298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2297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2296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2295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2294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2293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2292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2291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2290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2289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2288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2287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2286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2285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2284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2283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2282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2281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2280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2279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2278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2277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2276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2275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2274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2273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2272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2271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2270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2269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2268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2267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2266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2265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2264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2263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2262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2261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2260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2259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2258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2257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2256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2255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2254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2253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2252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2251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2250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2249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2248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2247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2246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2245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2244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2243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2242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2241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2240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2239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2238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2237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2236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2235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2234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2233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2232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2231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2230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2229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2228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2227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2226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2225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2224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2223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2222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2221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2220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2219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2218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2217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2216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2215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2214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2213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2212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2211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2210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2209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2208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2207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2206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2205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2204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2203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2202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2201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2200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2199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2198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2197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2196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2195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2194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2193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2192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2191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2190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2189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2188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2187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2186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2185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2184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2183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2182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2181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2180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2179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2178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2177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2176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2175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2174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2173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2172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2171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2170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2169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2168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2167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2166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2165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2164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2163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2162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2161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2160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2159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2158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2157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2156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2155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2154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2153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2152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2151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2150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2149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2148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2147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2146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2145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2144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2143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2142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2141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2140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2139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2138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2137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2136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2135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2134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2133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2132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2131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2130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2129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2128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2127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2126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2125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2124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2123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2122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2121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2120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2119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2118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2117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2116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2115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2114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2113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2112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2111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2110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2109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2108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2107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2106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2105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2104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2103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2102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2101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2100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2099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2098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2097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2096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2095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2094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2093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2092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2091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2090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2089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2088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2087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2086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2085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2084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2083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2082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2081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2080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2079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2078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2077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2076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2075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2074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2073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2072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2071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2070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2069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2068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2067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2066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2065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2064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2063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2062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2061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2060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2059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2058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2057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2056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2055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2054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2053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2052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2051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2050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2049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2048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2047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2046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2045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2044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2043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2042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2041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2040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2039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2038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2037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2036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2035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2034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2033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2032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2031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2030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2029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2028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2027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2026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2025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2024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2023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2022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2021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2020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2019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2018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2017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2016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2015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2014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2013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2012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2011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2010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2009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2008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2007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2006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2005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2004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2003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2002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2001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2000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1999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1998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1997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1996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1995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1994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1993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1992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1991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1990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1989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1988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1987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1986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1985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1984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1983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1982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1981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1980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1979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1978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1977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1976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1975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1974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1973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1972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1971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1970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1969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1968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1967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1966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1965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1964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1963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1962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1961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1960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1959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1958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1957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1956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1955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1954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1953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1952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1951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1950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1949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1948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1947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1946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1945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1944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1943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1942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1941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1940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1939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1938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1937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1936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1935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1934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1933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1932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1931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1930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1929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1928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1927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1926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1925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1924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1923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1922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1921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1920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1919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1918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1917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1916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1915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1914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1913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1912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1911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1910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1909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1908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1907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1906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1905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1904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1903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1902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1901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1900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1899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1898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1897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1896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1895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1894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1893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1892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1891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1890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1889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1888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1887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1886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1885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1884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1883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1882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1881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1880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1879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1878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1877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1876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1875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1874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1873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1872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1871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1870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1869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1868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1867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1866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1865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1864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1863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1862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1861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1860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1859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1858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1857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1856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1855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1854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1853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1852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1851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1850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1849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1848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1847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1846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1845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1844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1843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1842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1841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1840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1839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1838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1837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1836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1835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1834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1833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1832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1831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1830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1829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1828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1827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1826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1825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1824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1823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1822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1821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1820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1819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1818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1817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1816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1815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1814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1813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1812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1811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1810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1809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1808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1807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1806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1805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1804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1803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1802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1801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1800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1799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1798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1797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1796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1795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1794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1793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1792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1791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1790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1789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1788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1787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1786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1785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1784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1783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1782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1781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1780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1779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1778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1777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1776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1775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1774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1773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1772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1771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1770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1769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1768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1767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1766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1765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1764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1763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1762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1761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1760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1759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1758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1757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1756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1755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1754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1753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1752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1751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1750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1749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1748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1747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1746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1745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1744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1743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1742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1741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1740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1739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1738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1737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1736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1735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1734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1733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1732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1731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1730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1729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1728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1727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1726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1725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1724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1723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1722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1721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1720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1719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1718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1717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1716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1715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1714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1713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1712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1711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1710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1709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1708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1707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1706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1705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1704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1703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1702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1701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1700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1699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1698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1697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1696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1695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1694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1693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1692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1691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1690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1689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1688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1687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1686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1685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1684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1683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1682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1681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1680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1679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1678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1677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1676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1675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1674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1673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1672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1671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1670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1669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1668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1667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1666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1665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1664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1663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1662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1661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1660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1659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1658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1657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1656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1655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1654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1653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1652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1651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1650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1649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1648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1647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1646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1645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1644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1643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1642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1641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1640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1639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1638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1637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1636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1635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1634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1633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1632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1631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1630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1629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1628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1627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1626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1625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1624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1623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1622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1621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1620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1619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1618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1617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1616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1615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1614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1613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1612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1611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1610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1609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1608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1607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1606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1605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1604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1603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1602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1601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1600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1599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1598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1597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1596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1595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1594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1593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1592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1591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1590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1589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1588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1587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1586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1585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1584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1583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1582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1581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1580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1579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1578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1577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1576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1575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1574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1573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1572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1571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1570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1569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1568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1567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1566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1565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1564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1563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1562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1561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1560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1559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1558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1557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1556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1555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1554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1553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1552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1551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1550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1549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1548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1547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1546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1545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1544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1543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1542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1541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1540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1539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1538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1537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1536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1535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1534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1533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1532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1531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1530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1529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1528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1527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1526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1525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1524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1523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1522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1521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1520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1519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1518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1517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1516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1515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1514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1513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1512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1511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1510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1509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1508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1507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1506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1505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1504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1503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1502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1501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1500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1499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1498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1497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1496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1495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1494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1493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1492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1491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1490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1489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1488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1487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1486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1485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1484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1483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1482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1481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1480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1479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1478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1477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1476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1475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1474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1473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1472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1471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1470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1469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1468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1467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1466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1465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1464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1463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1462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1461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1460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1459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1458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1457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1456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1455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1454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1453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1452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1451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1450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1449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1448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1447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1446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1445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1444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1443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1442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1441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1440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1439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1438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1437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1436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1435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1434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1433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1432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1431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1430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1429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1428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1427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1426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1425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1424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1423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1422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1421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1420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1419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1418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1417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1416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1415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1414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1413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1412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1411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1410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1409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1408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1407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1406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1405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1404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1403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1402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1401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1400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1399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1398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1397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1396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1395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1394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1393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1392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1391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1390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1389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1388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1381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1380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1379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1378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1377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1376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1375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1374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1373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1372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1371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1370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1369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1368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1367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1366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1365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1364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1363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1362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1361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1360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1359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1358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1357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1356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1355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1354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1353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1352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1351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1350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1349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1348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1347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1346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1345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1344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1343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1342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1341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1340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1339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1338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1337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1336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1335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1334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1333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1332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1331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1330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1329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1328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1327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1326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1325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1324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1323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1322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1321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1320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1319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1318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1317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1316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1315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1314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1313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1312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1311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1310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1309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1308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1307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1306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1305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1304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1303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1302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1301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1300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1299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1298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1297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1296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1295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1294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1293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1292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1291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1290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1289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1288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1287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1286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1285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1284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1283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1282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3996</v>
      </c>
      <c r="D3" t="s">
        <v>3995</v>
      </c>
      <c r="G3" t="s">
        <v>3997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3998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3890</v>
      </c>
      <c r="R8" t="s">
        <v>3945</v>
      </c>
      <c r="S8" t="s">
        <v>4003</v>
      </c>
    </row>
    <row r="9" spans="2:19" x14ac:dyDescent="0.25">
      <c r="C9" s="116">
        <f>C6*(1+D6/100)</f>
        <v>3255776.0000000005</v>
      </c>
      <c r="P9" t="s">
        <v>974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N10" sqref="N10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1071</v>
      </c>
      <c r="O6" t="s">
        <v>279</v>
      </c>
      <c r="P6">
        <v>54682</v>
      </c>
      <c r="Q6" s="25" t="s">
        <v>3963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1072</v>
      </c>
      <c r="L10" s="34">
        <v>410021484671</v>
      </c>
      <c r="M10" s="33" t="s">
        <v>1073</v>
      </c>
      <c r="N10" t="s">
        <v>1075</v>
      </c>
      <c r="O10" t="s">
        <v>1076</v>
      </c>
      <c r="P10">
        <v>3781963292</v>
      </c>
      <c r="Q10" s="25" t="s">
        <v>3962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1171</v>
      </c>
      <c r="L13" t="s">
        <v>1168</v>
      </c>
      <c r="N13" t="s">
        <v>1173</v>
      </c>
      <c r="P13" t="s">
        <v>1167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1170</v>
      </c>
      <c r="L14" t="s">
        <v>1169</v>
      </c>
      <c r="M14" t="s">
        <v>1172</v>
      </c>
      <c r="N14" t="s">
        <v>1174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1178</v>
      </c>
      <c r="L17">
        <v>200011228</v>
      </c>
      <c r="M17" t="s">
        <v>1179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3928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4106</v>
      </c>
      <c r="L19" t="s">
        <v>4107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4108</v>
      </c>
      <c r="M20" t="s">
        <v>4109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1016</v>
      </c>
      <c r="B103" s="38">
        <v>295500</v>
      </c>
      <c r="C103" s="73" t="s">
        <v>1017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83" t="s">
        <v>25</v>
      </c>
      <c r="B104" s="184"/>
      <c r="C104" s="185"/>
      <c r="D104" s="183"/>
      <c r="E104" s="183"/>
      <c r="F104" s="183"/>
      <c r="G104" s="183"/>
    </row>
    <row r="105" spans="1:7" x14ac:dyDescent="0.25">
      <c r="A105" s="105" t="s">
        <v>4011</v>
      </c>
      <c r="B105" s="38">
        <f>SUM(B2:B103)</f>
        <v>59475793</v>
      </c>
      <c r="C105" s="73" t="s">
        <v>4010</v>
      </c>
      <c r="D105" s="105">
        <v>1</v>
      </c>
      <c r="E105" s="105">
        <f>D105+E106</f>
        <v>157</v>
      </c>
      <c r="F105" s="105">
        <f t="shared" si="5"/>
        <v>1</v>
      </c>
      <c r="G105" s="105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938</v>
      </c>
      <c r="B108" s="38">
        <v>-60000000</v>
      </c>
      <c r="C108" s="73" t="s">
        <v>1013</v>
      </c>
      <c r="D108" s="11">
        <v>0</v>
      </c>
      <c r="E108" s="105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938</v>
      </c>
      <c r="B109" s="38">
        <v>5850000</v>
      </c>
      <c r="C109" s="73" t="s">
        <v>1015</v>
      </c>
      <c r="D109" s="11">
        <v>1</v>
      </c>
      <c r="E109" s="105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1021</v>
      </c>
      <c r="B110" s="38">
        <v>3000000</v>
      </c>
      <c r="C110" s="73" t="s">
        <v>1031</v>
      </c>
      <c r="D110" s="11">
        <v>1</v>
      </c>
      <c r="E110" s="105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1032</v>
      </c>
      <c r="B111" s="38">
        <v>2000000</v>
      </c>
      <c r="C111" s="73" t="s">
        <v>1031</v>
      </c>
      <c r="D111" s="11">
        <v>0</v>
      </c>
      <c r="E111" s="105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1032</v>
      </c>
      <c r="B112" s="38">
        <v>-5000000</v>
      </c>
      <c r="C112" s="73" t="s">
        <v>1013</v>
      </c>
      <c r="D112" s="11">
        <v>1</v>
      </c>
      <c r="E112" s="105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1038</v>
      </c>
      <c r="B113" s="38">
        <v>412668</v>
      </c>
      <c r="C113" s="73" t="s">
        <v>1039</v>
      </c>
      <c r="D113" s="11">
        <v>8</v>
      </c>
      <c r="E113" s="105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1077</v>
      </c>
      <c r="B114" s="38">
        <v>42000000</v>
      </c>
      <c r="C114" s="73" t="s">
        <v>1078</v>
      </c>
      <c r="D114" s="11">
        <v>7</v>
      </c>
      <c r="E114" s="105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1084</v>
      </c>
      <c r="B115" s="38">
        <v>-25000000</v>
      </c>
      <c r="C115" s="73" t="s">
        <v>1089</v>
      </c>
      <c r="D115" s="11">
        <v>1</v>
      </c>
      <c r="E115" s="105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1086</v>
      </c>
      <c r="B116" s="38">
        <v>-200000</v>
      </c>
      <c r="C116" s="73" t="s">
        <v>1111</v>
      </c>
      <c r="D116" s="11">
        <v>2</v>
      </c>
      <c r="E116" s="105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1118</v>
      </c>
      <c r="B117" s="38">
        <v>-18000000</v>
      </c>
      <c r="C117" s="73" t="s">
        <v>1119</v>
      </c>
      <c r="D117" s="11">
        <v>1</v>
      </c>
      <c r="E117" s="105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1120</v>
      </c>
      <c r="B118" s="38">
        <v>-2500000</v>
      </c>
      <c r="C118" s="73" t="s">
        <v>1119</v>
      </c>
      <c r="D118" s="11">
        <v>10</v>
      </c>
      <c r="E118" s="105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1175</v>
      </c>
      <c r="B119" s="38">
        <v>595000</v>
      </c>
      <c r="C119" s="73" t="s">
        <v>1031</v>
      </c>
      <c r="D119" s="11">
        <v>2</v>
      </c>
      <c r="E119" s="105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1177</v>
      </c>
      <c r="B120" s="38">
        <v>137334</v>
      </c>
      <c r="C120" s="73" t="s">
        <v>510</v>
      </c>
      <c r="D120" s="11">
        <v>2</v>
      </c>
      <c r="E120" s="105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1180</v>
      </c>
      <c r="B121" s="38">
        <v>-3200900</v>
      </c>
      <c r="C121" s="73" t="s">
        <v>1181</v>
      </c>
      <c r="D121" s="11">
        <v>1</v>
      </c>
      <c r="E121" s="105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1188</v>
      </c>
      <c r="B122" s="38">
        <v>16276000</v>
      </c>
      <c r="C122" s="73" t="s">
        <v>1190</v>
      </c>
      <c r="D122" s="11">
        <v>3</v>
      </c>
      <c r="E122" s="105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1199</v>
      </c>
      <c r="B123" s="38">
        <v>3000000</v>
      </c>
      <c r="C123" s="73" t="s">
        <v>727</v>
      </c>
      <c r="D123" s="11">
        <v>0</v>
      </c>
      <c r="E123" s="105">
        <f t="shared" si="7"/>
        <v>105</v>
      </c>
      <c r="F123" s="11">
        <f t="shared" si="5"/>
        <v>1</v>
      </c>
      <c r="G123" s="105">
        <f t="shared" si="4"/>
        <v>312000000</v>
      </c>
    </row>
    <row r="124" spans="1:7" x14ac:dyDescent="0.25">
      <c r="A124" s="11" t="s">
        <v>1199</v>
      </c>
      <c r="B124" s="38">
        <v>2020000</v>
      </c>
      <c r="C124" s="73" t="s">
        <v>1203</v>
      </c>
      <c r="D124" s="11">
        <v>0</v>
      </c>
      <c r="E124" s="105">
        <f t="shared" si="7"/>
        <v>105</v>
      </c>
      <c r="F124" s="105">
        <f t="shared" si="5"/>
        <v>1</v>
      </c>
      <c r="G124" s="105">
        <f t="shared" si="4"/>
        <v>210080000</v>
      </c>
    </row>
    <row r="125" spans="1:7" x14ac:dyDescent="0.25">
      <c r="A125" s="11" t="s">
        <v>1199</v>
      </c>
      <c r="B125" s="38">
        <v>4975000</v>
      </c>
      <c r="C125" s="73" t="s">
        <v>1200</v>
      </c>
      <c r="D125" s="11">
        <v>1</v>
      </c>
      <c r="E125" s="105">
        <f t="shared" si="7"/>
        <v>105</v>
      </c>
      <c r="F125" s="105">
        <f t="shared" si="5"/>
        <v>1</v>
      </c>
      <c r="G125" s="105">
        <f t="shared" si="4"/>
        <v>517400000</v>
      </c>
    </row>
    <row r="126" spans="1:7" x14ac:dyDescent="0.25">
      <c r="A126" s="105" t="s">
        <v>1213</v>
      </c>
      <c r="B126" s="38">
        <v>-18500000</v>
      </c>
      <c r="C126" s="73" t="s">
        <v>1119</v>
      </c>
      <c r="D126" s="105">
        <v>0</v>
      </c>
      <c r="E126" s="105">
        <f t="shared" si="7"/>
        <v>104</v>
      </c>
      <c r="F126" s="105">
        <f t="shared" si="5"/>
        <v>0</v>
      </c>
      <c r="G126" s="105">
        <f t="shared" si="4"/>
        <v>-1924000000</v>
      </c>
    </row>
    <row r="127" spans="1:7" x14ac:dyDescent="0.25">
      <c r="A127" s="105" t="s">
        <v>1213</v>
      </c>
      <c r="B127" s="38">
        <v>3000000</v>
      </c>
      <c r="C127" s="73" t="s">
        <v>1219</v>
      </c>
      <c r="D127" s="105">
        <v>0</v>
      </c>
      <c r="E127" s="105">
        <f t="shared" si="7"/>
        <v>104</v>
      </c>
      <c r="F127" s="105">
        <f t="shared" si="5"/>
        <v>1</v>
      </c>
      <c r="G127" s="105">
        <f t="shared" si="4"/>
        <v>309000000</v>
      </c>
    </row>
    <row r="128" spans="1:7" x14ac:dyDescent="0.25">
      <c r="A128" s="105" t="s">
        <v>1213</v>
      </c>
      <c r="B128" s="38">
        <v>-3000900</v>
      </c>
      <c r="C128" s="73" t="s">
        <v>1225</v>
      </c>
      <c r="D128" s="105">
        <v>1</v>
      </c>
      <c r="E128" s="105">
        <f t="shared" si="7"/>
        <v>104</v>
      </c>
      <c r="F128" s="105">
        <f t="shared" si="5"/>
        <v>0</v>
      </c>
      <c r="G128" s="105">
        <f t="shared" si="4"/>
        <v>-312093600</v>
      </c>
    </row>
    <row r="129" spans="1:10" x14ac:dyDescent="0.25">
      <c r="A129" s="105" t="s">
        <v>1222</v>
      </c>
      <c r="B129" s="38">
        <v>900000</v>
      </c>
      <c r="C129" s="73" t="s">
        <v>1224</v>
      </c>
      <c r="D129" s="105">
        <v>0</v>
      </c>
      <c r="E129" s="105">
        <f t="shared" si="7"/>
        <v>103</v>
      </c>
      <c r="F129" s="105">
        <f t="shared" si="5"/>
        <v>1</v>
      </c>
      <c r="G129" s="105">
        <f t="shared" si="4"/>
        <v>91800000</v>
      </c>
    </row>
    <row r="130" spans="1:10" x14ac:dyDescent="0.25">
      <c r="A130" s="105" t="s">
        <v>1222</v>
      </c>
      <c r="B130" s="38">
        <v>-3000900</v>
      </c>
      <c r="C130" s="73" t="s">
        <v>1225</v>
      </c>
      <c r="D130" s="105">
        <v>1</v>
      </c>
      <c r="E130" s="105">
        <f t="shared" si="7"/>
        <v>103</v>
      </c>
      <c r="F130" s="105">
        <f t="shared" si="5"/>
        <v>0</v>
      </c>
      <c r="G130" s="105">
        <f t="shared" si="4"/>
        <v>-309092700</v>
      </c>
    </row>
    <row r="131" spans="1:10" x14ac:dyDescent="0.25">
      <c r="A131" s="105" t="s">
        <v>1229</v>
      </c>
      <c r="B131" s="38">
        <v>-3000900</v>
      </c>
      <c r="C131" s="73" t="s">
        <v>1237</v>
      </c>
      <c r="D131" s="105">
        <v>2</v>
      </c>
      <c r="E131" s="105">
        <f t="shared" si="7"/>
        <v>102</v>
      </c>
      <c r="F131" s="105">
        <f t="shared" si="5"/>
        <v>0</v>
      </c>
      <c r="G131" s="105">
        <f t="shared" si="4"/>
        <v>-306091800</v>
      </c>
    </row>
    <row r="132" spans="1:10" x14ac:dyDescent="0.25">
      <c r="A132" s="105" t="s">
        <v>1238</v>
      </c>
      <c r="B132" s="38">
        <v>-1000500</v>
      </c>
      <c r="C132" s="73" t="s">
        <v>1237</v>
      </c>
      <c r="D132" s="105">
        <v>0</v>
      </c>
      <c r="E132" s="105">
        <f t="shared" si="7"/>
        <v>100</v>
      </c>
      <c r="F132" s="105">
        <f t="shared" si="5"/>
        <v>0</v>
      </c>
      <c r="G132" s="105">
        <f t="shared" si="4"/>
        <v>-100050000</v>
      </c>
    </row>
    <row r="133" spans="1:10" x14ac:dyDescent="0.25">
      <c r="A133" s="105" t="s">
        <v>1238</v>
      </c>
      <c r="B133" s="38">
        <v>100000</v>
      </c>
      <c r="C133" s="73" t="s">
        <v>1239</v>
      </c>
      <c r="D133" s="105">
        <v>2</v>
      </c>
      <c r="E133" s="105">
        <f t="shared" si="7"/>
        <v>100</v>
      </c>
      <c r="F133" s="105">
        <f t="shared" si="5"/>
        <v>1</v>
      </c>
      <c r="G133" s="105">
        <f t="shared" si="4"/>
        <v>9900000</v>
      </c>
    </row>
    <row r="134" spans="1:10" x14ac:dyDescent="0.25">
      <c r="A134" s="105" t="s">
        <v>1241</v>
      </c>
      <c r="B134" s="38">
        <v>-200000</v>
      </c>
      <c r="C134" s="73" t="s">
        <v>1242</v>
      </c>
      <c r="D134" s="105">
        <v>1</v>
      </c>
      <c r="E134" s="105">
        <f t="shared" si="7"/>
        <v>98</v>
      </c>
      <c r="F134" s="105">
        <f t="shared" si="5"/>
        <v>0</v>
      </c>
      <c r="G134" s="105">
        <f t="shared" si="4"/>
        <v>-19600000</v>
      </c>
    </row>
    <row r="135" spans="1:10" x14ac:dyDescent="0.25">
      <c r="A135" s="105" t="s">
        <v>1245</v>
      </c>
      <c r="B135" s="38">
        <v>-2200000</v>
      </c>
      <c r="C135" s="73" t="s">
        <v>1249</v>
      </c>
      <c r="D135" s="105">
        <v>3</v>
      </c>
      <c r="E135" s="105">
        <f t="shared" si="7"/>
        <v>97</v>
      </c>
      <c r="F135" s="105">
        <f t="shared" si="5"/>
        <v>0</v>
      </c>
      <c r="G135" s="105">
        <f t="shared" si="4"/>
        <v>-213400000</v>
      </c>
    </row>
    <row r="136" spans="1:10" x14ac:dyDescent="0.25">
      <c r="A136" s="105" t="s">
        <v>1260</v>
      </c>
      <c r="B136" s="38">
        <v>-905500</v>
      </c>
      <c r="C136" s="73" t="s">
        <v>1261</v>
      </c>
      <c r="D136" s="105">
        <v>3</v>
      </c>
      <c r="E136" s="105">
        <f t="shared" si="7"/>
        <v>94</v>
      </c>
      <c r="F136" s="105">
        <f t="shared" si="5"/>
        <v>0</v>
      </c>
      <c r="G136" s="105">
        <f t="shared" si="4"/>
        <v>-85117000</v>
      </c>
    </row>
    <row r="137" spans="1:10" x14ac:dyDescent="0.25">
      <c r="A137" s="105" t="s">
        <v>1270</v>
      </c>
      <c r="B137" s="38">
        <v>1500000</v>
      </c>
      <c r="C137" s="73" t="s">
        <v>1271</v>
      </c>
      <c r="D137" s="105">
        <v>1</v>
      </c>
      <c r="E137" s="105">
        <f t="shared" si="7"/>
        <v>91</v>
      </c>
      <c r="F137" s="105">
        <f t="shared" si="5"/>
        <v>1</v>
      </c>
      <c r="G137" s="105">
        <f t="shared" si="4"/>
        <v>135000000</v>
      </c>
    </row>
    <row r="138" spans="1:10" x14ac:dyDescent="0.25">
      <c r="A138" s="105" t="s">
        <v>3694</v>
      </c>
      <c r="B138" s="38">
        <v>-1000500</v>
      </c>
      <c r="C138" s="73" t="s">
        <v>1253</v>
      </c>
      <c r="D138" s="105">
        <v>0</v>
      </c>
      <c r="E138" s="105">
        <f t="shared" si="7"/>
        <v>90</v>
      </c>
      <c r="F138" s="105">
        <f t="shared" si="5"/>
        <v>0</v>
      </c>
      <c r="G138" s="105">
        <f t="shared" si="4"/>
        <v>-90045000</v>
      </c>
    </row>
    <row r="139" spans="1:10" x14ac:dyDescent="0.25">
      <c r="A139" s="105" t="s">
        <v>3694</v>
      </c>
      <c r="B139" s="38">
        <v>-365000</v>
      </c>
      <c r="C139" s="73" t="s">
        <v>3696</v>
      </c>
      <c r="D139" s="105">
        <v>2</v>
      </c>
      <c r="E139" s="105">
        <f t="shared" si="7"/>
        <v>90</v>
      </c>
      <c r="F139" s="105">
        <f t="shared" si="5"/>
        <v>0</v>
      </c>
      <c r="G139" s="105">
        <f t="shared" si="4"/>
        <v>-32850000</v>
      </c>
    </row>
    <row r="140" spans="1:10" x14ac:dyDescent="0.25">
      <c r="A140" s="105" t="s">
        <v>3699</v>
      </c>
      <c r="B140" s="38">
        <v>23000000</v>
      </c>
      <c r="C140" s="73" t="s">
        <v>3700</v>
      </c>
      <c r="D140" s="105">
        <v>1</v>
      </c>
      <c r="E140" s="105">
        <f t="shared" si="7"/>
        <v>88</v>
      </c>
      <c r="F140" s="105">
        <f t="shared" si="5"/>
        <v>1</v>
      </c>
      <c r="G140" s="105">
        <f t="shared" si="4"/>
        <v>2001000000</v>
      </c>
      <c r="J140" t="s">
        <v>25</v>
      </c>
    </row>
    <row r="141" spans="1:10" x14ac:dyDescent="0.25">
      <c r="A141" s="105" t="s">
        <v>3702</v>
      </c>
      <c r="B141" s="38">
        <v>1800000</v>
      </c>
      <c r="C141" s="73" t="s">
        <v>3700</v>
      </c>
      <c r="D141" s="105">
        <v>2</v>
      </c>
      <c r="E141" s="105">
        <f t="shared" si="7"/>
        <v>87</v>
      </c>
      <c r="F141" s="105">
        <f t="shared" si="5"/>
        <v>1</v>
      </c>
      <c r="G141" s="105">
        <f t="shared" si="4"/>
        <v>154800000</v>
      </c>
    </row>
    <row r="142" spans="1:10" x14ac:dyDescent="0.25">
      <c r="A142" s="105" t="s">
        <v>3715</v>
      </c>
      <c r="B142" s="38">
        <v>200000</v>
      </c>
      <c r="C142" s="73" t="s">
        <v>3700</v>
      </c>
      <c r="D142" s="105"/>
      <c r="E142" s="105">
        <f t="shared" si="7"/>
        <v>85</v>
      </c>
      <c r="F142" s="105">
        <f t="shared" si="5"/>
        <v>1</v>
      </c>
      <c r="G142" s="105">
        <f t="shared" si="4"/>
        <v>16800000</v>
      </c>
    </row>
    <row r="143" spans="1:10" x14ac:dyDescent="0.25">
      <c r="A143" s="105" t="s">
        <v>3703</v>
      </c>
      <c r="B143" s="38">
        <v>-3200900</v>
      </c>
      <c r="C143" s="73" t="s">
        <v>3704</v>
      </c>
      <c r="D143" s="105">
        <v>1</v>
      </c>
      <c r="E143" s="105">
        <f t="shared" si="7"/>
        <v>85</v>
      </c>
      <c r="F143" s="105">
        <f t="shared" si="5"/>
        <v>0</v>
      </c>
      <c r="G143" s="105">
        <f t="shared" si="4"/>
        <v>-272076500</v>
      </c>
    </row>
    <row r="144" spans="1:10" x14ac:dyDescent="0.25">
      <c r="A144" s="105" t="s">
        <v>3707</v>
      </c>
      <c r="B144" s="38">
        <v>-3020900</v>
      </c>
      <c r="C144" s="73" t="s">
        <v>3708</v>
      </c>
      <c r="D144" s="105">
        <v>1</v>
      </c>
      <c r="E144" s="105">
        <f t="shared" si="7"/>
        <v>84</v>
      </c>
      <c r="F144" s="105">
        <f t="shared" si="5"/>
        <v>0</v>
      </c>
      <c r="G144" s="105">
        <f t="shared" si="4"/>
        <v>-253755600</v>
      </c>
    </row>
    <row r="145" spans="1:10" x14ac:dyDescent="0.25">
      <c r="A145" s="105" t="s">
        <v>3709</v>
      </c>
      <c r="B145" s="38">
        <v>72533</v>
      </c>
      <c r="C145" s="73" t="s">
        <v>3712</v>
      </c>
      <c r="D145" s="105">
        <v>3</v>
      </c>
      <c r="E145" s="105">
        <f t="shared" si="7"/>
        <v>83</v>
      </c>
      <c r="F145" s="105">
        <f t="shared" si="5"/>
        <v>1</v>
      </c>
      <c r="G145" s="105">
        <f t="shared" si="4"/>
        <v>5947706</v>
      </c>
    </row>
    <row r="146" spans="1:10" x14ac:dyDescent="0.25">
      <c r="A146" s="105" t="s">
        <v>3716</v>
      </c>
      <c r="B146" s="38">
        <v>-3000900</v>
      </c>
      <c r="C146" s="73" t="s">
        <v>1237</v>
      </c>
      <c r="D146" s="105">
        <v>1</v>
      </c>
      <c r="E146" s="105">
        <f t="shared" si="7"/>
        <v>80</v>
      </c>
      <c r="F146" s="105">
        <f t="shared" si="5"/>
        <v>0</v>
      </c>
      <c r="G146" s="105">
        <f t="shared" si="4"/>
        <v>-240072000</v>
      </c>
    </row>
    <row r="147" spans="1:10" x14ac:dyDescent="0.25">
      <c r="A147" s="105" t="s">
        <v>3732</v>
      </c>
      <c r="B147" s="38">
        <v>-3001400</v>
      </c>
      <c r="C147" s="73" t="s">
        <v>3734</v>
      </c>
      <c r="D147" s="105">
        <v>0</v>
      </c>
      <c r="E147" s="105">
        <f t="shared" si="7"/>
        <v>79</v>
      </c>
      <c r="F147" s="105">
        <f t="shared" si="5"/>
        <v>0</v>
      </c>
      <c r="G147" s="105">
        <f t="shared" si="4"/>
        <v>-237110600</v>
      </c>
    </row>
    <row r="148" spans="1:10" x14ac:dyDescent="0.25">
      <c r="A148" s="105" t="s">
        <v>3732</v>
      </c>
      <c r="B148" s="38">
        <v>-216910</v>
      </c>
      <c r="C148" s="73" t="s">
        <v>3737</v>
      </c>
      <c r="D148" s="105">
        <v>1</v>
      </c>
      <c r="E148" s="105">
        <f t="shared" si="7"/>
        <v>79</v>
      </c>
      <c r="F148" s="105">
        <f t="shared" si="5"/>
        <v>0</v>
      </c>
      <c r="G148" s="105">
        <f t="shared" si="4"/>
        <v>-17135890</v>
      </c>
    </row>
    <row r="149" spans="1:10" x14ac:dyDescent="0.25">
      <c r="A149" s="105" t="s">
        <v>3738</v>
      </c>
      <c r="B149" s="38">
        <v>-3000900</v>
      </c>
      <c r="C149" s="73" t="s">
        <v>462</v>
      </c>
      <c r="D149" s="105">
        <v>1</v>
      </c>
      <c r="E149" s="105">
        <f t="shared" si="7"/>
        <v>78</v>
      </c>
      <c r="F149" s="105">
        <f t="shared" si="5"/>
        <v>0</v>
      </c>
      <c r="G149" s="105">
        <f t="shared" si="4"/>
        <v>-234070200</v>
      </c>
    </row>
    <row r="150" spans="1:10" x14ac:dyDescent="0.25">
      <c r="A150" s="105" t="s">
        <v>3751</v>
      </c>
      <c r="B150" s="38">
        <v>5900000</v>
      </c>
      <c r="C150" s="73" t="s">
        <v>3752</v>
      </c>
      <c r="D150" s="105">
        <v>13</v>
      </c>
      <c r="E150" s="105">
        <f t="shared" si="7"/>
        <v>77</v>
      </c>
      <c r="F150" s="105">
        <f t="shared" si="5"/>
        <v>1</v>
      </c>
      <c r="G150" s="105">
        <f t="shared" si="4"/>
        <v>448400000</v>
      </c>
      <c r="J150" t="s">
        <v>25</v>
      </c>
    </row>
    <row r="151" spans="1:10" x14ac:dyDescent="0.25">
      <c r="A151" s="105" t="s">
        <v>3806</v>
      </c>
      <c r="B151" s="38">
        <v>17000000</v>
      </c>
      <c r="C151" s="73" t="s">
        <v>3807</v>
      </c>
      <c r="D151" s="105">
        <v>0</v>
      </c>
      <c r="E151" s="105">
        <f t="shared" si="7"/>
        <v>64</v>
      </c>
      <c r="F151" s="105">
        <f t="shared" si="5"/>
        <v>1</v>
      </c>
      <c r="G151" s="105">
        <f t="shared" si="4"/>
        <v>1071000000</v>
      </c>
    </row>
    <row r="152" spans="1:10" x14ac:dyDescent="0.25">
      <c r="A152" s="105" t="s">
        <v>3806</v>
      </c>
      <c r="B152" s="38">
        <v>-1000</v>
      </c>
      <c r="C152" s="73" t="s">
        <v>3808</v>
      </c>
      <c r="D152" s="105">
        <v>1</v>
      </c>
      <c r="E152" s="105">
        <f t="shared" si="7"/>
        <v>64</v>
      </c>
      <c r="F152" s="105">
        <f t="shared" si="5"/>
        <v>0</v>
      </c>
      <c r="G152" s="105">
        <f t="shared" si="4"/>
        <v>-64000</v>
      </c>
    </row>
    <row r="153" spans="1:10" x14ac:dyDescent="0.25">
      <c r="A153" s="105" t="s">
        <v>3810</v>
      </c>
      <c r="B153" s="38">
        <v>3000000</v>
      </c>
      <c r="C153" s="73" t="s">
        <v>3813</v>
      </c>
      <c r="D153" s="105">
        <v>0</v>
      </c>
      <c r="E153" s="105">
        <f t="shared" si="7"/>
        <v>63</v>
      </c>
      <c r="F153" s="105">
        <f t="shared" si="5"/>
        <v>1</v>
      </c>
      <c r="G153" s="105">
        <f t="shared" si="4"/>
        <v>186000000</v>
      </c>
    </row>
    <row r="154" spans="1:10" x14ac:dyDescent="0.25">
      <c r="A154" s="105" t="s">
        <v>3810</v>
      </c>
      <c r="B154" s="38">
        <v>-18011000</v>
      </c>
      <c r="C154" s="73" t="s">
        <v>3815</v>
      </c>
      <c r="D154" s="105">
        <v>0</v>
      </c>
      <c r="E154" s="105">
        <f t="shared" si="7"/>
        <v>63</v>
      </c>
      <c r="F154" s="105">
        <f t="shared" si="5"/>
        <v>0</v>
      </c>
      <c r="G154" s="105">
        <f t="shared" si="4"/>
        <v>-1134693000</v>
      </c>
    </row>
    <row r="155" spans="1:10" x14ac:dyDescent="0.25">
      <c r="A155" s="105" t="s">
        <v>3810</v>
      </c>
      <c r="B155" s="38">
        <v>-15600000</v>
      </c>
      <c r="C155" s="73" t="s">
        <v>3814</v>
      </c>
      <c r="D155" s="105">
        <v>0</v>
      </c>
      <c r="E155" s="105">
        <f t="shared" si="7"/>
        <v>63</v>
      </c>
      <c r="F155" s="105">
        <f t="shared" si="5"/>
        <v>0</v>
      </c>
      <c r="G155" s="105">
        <f t="shared" si="4"/>
        <v>-982800000</v>
      </c>
    </row>
    <row r="156" spans="1:10" x14ac:dyDescent="0.25">
      <c r="A156" s="105" t="s">
        <v>3810</v>
      </c>
      <c r="B156" s="38">
        <v>-1400500</v>
      </c>
      <c r="C156" s="73" t="s">
        <v>3816</v>
      </c>
      <c r="D156" s="105">
        <v>0</v>
      </c>
      <c r="E156" s="105">
        <f t="shared" si="7"/>
        <v>63</v>
      </c>
      <c r="F156" s="105">
        <f t="shared" si="5"/>
        <v>0</v>
      </c>
      <c r="G156" s="105">
        <f t="shared" si="4"/>
        <v>-88231500</v>
      </c>
    </row>
    <row r="157" spans="1:10" x14ac:dyDescent="0.25">
      <c r="A157" s="105" t="s">
        <v>3810</v>
      </c>
      <c r="B157" s="38">
        <v>-5000</v>
      </c>
      <c r="C157" s="73" t="s">
        <v>502</v>
      </c>
      <c r="D157" s="105">
        <v>5</v>
      </c>
      <c r="E157" s="105">
        <f t="shared" si="7"/>
        <v>63</v>
      </c>
      <c r="F157" s="105">
        <f t="shared" si="5"/>
        <v>0</v>
      </c>
      <c r="G157" s="105">
        <f t="shared" si="4"/>
        <v>-315000</v>
      </c>
    </row>
    <row r="158" spans="1:10" x14ac:dyDescent="0.25">
      <c r="A158" s="105" t="s">
        <v>3818</v>
      </c>
      <c r="B158" s="38">
        <v>3000000</v>
      </c>
      <c r="C158" s="73" t="s">
        <v>3819</v>
      </c>
      <c r="D158" s="105">
        <v>1</v>
      </c>
      <c r="E158" s="105">
        <f t="shared" si="7"/>
        <v>58</v>
      </c>
      <c r="F158" s="105">
        <f t="shared" si="5"/>
        <v>1</v>
      </c>
      <c r="G158" s="105">
        <f t="shared" si="4"/>
        <v>171000000</v>
      </c>
    </row>
    <row r="159" spans="1:10" x14ac:dyDescent="0.25">
      <c r="A159" s="105" t="s">
        <v>3825</v>
      </c>
      <c r="B159" s="38">
        <v>1000000</v>
      </c>
      <c r="C159" s="73" t="s">
        <v>3700</v>
      </c>
      <c r="D159" s="105">
        <v>1</v>
      </c>
      <c r="E159" s="105">
        <f t="shared" si="7"/>
        <v>57</v>
      </c>
      <c r="F159" s="105">
        <f t="shared" si="5"/>
        <v>1</v>
      </c>
      <c r="G159" s="105">
        <f t="shared" si="4"/>
        <v>56000000</v>
      </c>
    </row>
    <row r="160" spans="1:10" x14ac:dyDescent="0.25">
      <c r="A160" s="105" t="s">
        <v>3824</v>
      </c>
      <c r="B160" s="38">
        <v>-4500000</v>
      </c>
      <c r="C160" s="73" t="s">
        <v>3826</v>
      </c>
      <c r="D160" s="105">
        <v>0</v>
      </c>
      <c r="E160" s="105">
        <f t="shared" si="7"/>
        <v>56</v>
      </c>
      <c r="F160" s="105">
        <f t="shared" si="5"/>
        <v>0</v>
      </c>
      <c r="G160" s="105">
        <f t="shared" si="4"/>
        <v>-252000000</v>
      </c>
    </row>
    <row r="161" spans="1:7" x14ac:dyDescent="0.25">
      <c r="A161" s="105" t="s">
        <v>3824</v>
      </c>
      <c r="B161" s="38">
        <v>3000000</v>
      </c>
      <c r="C161" s="73" t="s">
        <v>3827</v>
      </c>
      <c r="D161" s="105">
        <v>0</v>
      </c>
      <c r="E161" s="105">
        <f t="shared" si="7"/>
        <v>56</v>
      </c>
      <c r="F161" s="105">
        <f t="shared" si="5"/>
        <v>1</v>
      </c>
      <c r="G161" s="105">
        <f t="shared" si="4"/>
        <v>165000000</v>
      </c>
    </row>
    <row r="162" spans="1:7" x14ac:dyDescent="0.25">
      <c r="A162" s="105" t="s">
        <v>3824</v>
      </c>
      <c r="B162" s="38">
        <v>-3000000</v>
      </c>
      <c r="C162" s="73" t="s">
        <v>3826</v>
      </c>
      <c r="D162" s="105">
        <v>1</v>
      </c>
      <c r="E162" s="105">
        <f t="shared" si="7"/>
        <v>56</v>
      </c>
      <c r="F162" s="105">
        <f t="shared" si="5"/>
        <v>0</v>
      </c>
      <c r="G162" s="105">
        <f t="shared" si="4"/>
        <v>-168000000</v>
      </c>
    </row>
    <row r="163" spans="1:7" x14ac:dyDescent="0.25">
      <c r="A163" s="105" t="s">
        <v>3842</v>
      </c>
      <c r="B163" s="38">
        <v>93165</v>
      </c>
      <c r="C163" s="73" t="s">
        <v>585</v>
      </c>
      <c r="D163" s="105">
        <v>6</v>
      </c>
      <c r="E163" s="105">
        <f t="shared" si="7"/>
        <v>55</v>
      </c>
      <c r="F163" s="105">
        <f t="shared" si="5"/>
        <v>1</v>
      </c>
      <c r="G163" s="105">
        <f t="shared" si="4"/>
        <v>5030910</v>
      </c>
    </row>
    <row r="164" spans="1:7" x14ac:dyDescent="0.25">
      <c r="A164" s="37" t="s">
        <v>3839</v>
      </c>
      <c r="B164" s="38">
        <v>1160000</v>
      </c>
      <c r="C164" s="73" t="s">
        <v>3846</v>
      </c>
      <c r="D164" s="105">
        <v>1</v>
      </c>
      <c r="E164" s="105">
        <f t="shared" si="7"/>
        <v>49</v>
      </c>
      <c r="F164" s="105">
        <f t="shared" si="5"/>
        <v>1</v>
      </c>
      <c r="G164" s="105">
        <f t="shared" si="4"/>
        <v>55680000</v>
      </c>
    </row>
    <row r="165" spans="1:7" x14ac:dyDescent="0.25">
      <c r="A165" s="59" t="s">
        <v>3843</v>
      </c>
      <c r="B165" s="38">
        <v>-526350</v>
      </c>
      <c r="C165" s="73" t="s">
        <v>3844</v>
      </c>
      <c r="D165" s="105">
        <v>3</v>
      </c>
      <c r="E165" s="105">
        <f t="shared" si="7"/>
        <v>48</v>
      </c>
      <c r="F165" s="105">
        <f t="shared" si="5"/>
        <v>0</v>
      </c>
      <c r="G165" s="105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3917</v>
      </c>
      <c r="D166" s="105">
        <v>2</v>
      </c>
      <c r="E166" s="105">
        <f t="shared" si="7"/>
        <v>45</v>
      </c>
      <c r="F166" s="105">
        <f t="shared" si="5"/>
        <v>0</v>
      </c>
      <c r="G166" s="105">
        <f t="shared" si="4"/>
        <v>-9000000</v>
      </c>
    </row>
    <row r="167" spans="1:7" x14ac:dyDescent="0.25">
      <c r="A167" s="105" t="s">
        <v>3921</v>
      </c>
      <c r="B167" s="38">
        <v>785000</v>
      </c>
      <c r="C167" s="73" t="s">
        <v>3924</v>
      </c>
      <c r="D167" s="105">
        <v>0</v>
      </c>
      <c r="E167" s="105">
        <f t="shared" si="7"/>
        <v>43</v>
      </c>
      <c r="F167" s="105">
        <f t="shared" si="5"/>
        <v>1</v>
      </c>
      <c r="G167" s="105">
        <f t="shared" si="4"/>
        <v>32970000</v>
      </c>
    </row>
    <row r="168" spans="1:7" x14ac:dyDescent="0.25">
      <c r="A168" s="105" t="s">
        <v>3921</v>
      </c>
      <c r="B168" s="38">
        <v>-200000</v>
      </c>
      <c r="C168" s="73" t="s">
        <v>158</v>
      </c>
      <c r="D168" s="105">
        <v>1</v>
      </c>
      <c r="E168" s="105">
        <f t="shared" si="7"/>
        <v>43</v>
      </c>
      <c r="F168" s="105">
        <f t="shared" si="5"/>
        <v>0</v>
      </c>
      <c r="G168" s="105">
        <f t="shared" si="4"/>
        <v>-8600000</v>
      </c>
    </row>
    <row r="169" spans="1:7" x14ac:dyDescent="0.25">
      <c r="A169" s="105" t="s">
        <v>3925</v>
      </c>
      <c r="B169" s="38">
        <v>-450000</v>
      </c>
      <c r="C169" s="73" t="s">
        <v>1119</v>
      </c>
      <c r="D169" s="105">
        <v>0</v>
      </c>
      <c r="E169" s="105">
        <f t="shared" si="7"/>
        <v>42</v>
      </c>
      <c r="F169" s="105">
        <f t="shared" si="5"/>
        <v>0</v>
      </c>
      <c r="G169" s="105">
        <f t="shared" si="4"/>
        <v>-18900000</v>
      </c>
    </row>
    <row r="170" spans="1:7" x14ac:dyDescent="0.25">
      <c r="A170" s="105" t="s">
        <v>3925</v>
      </c>
      <c r="B170" s="38">
        <v>3000000</v>
      </c>
      <c r="C170" s="73" t="s">
        <v>3930</v>
      </c>
      <c r="D170" s="105">
        <v>0</v>
      </c>
      <c r="E170" s="105">
        <f t="shared" ref="E170:E180" si="8">D170+E171</f>
        <v>42</v>
      </c>
      <c r="F170" s="105">
        <f t="shared" si="5"/>
        <v>1</v>
      </c>
      <c r="G170" s="105">
        <f t="shared" si="4"/>
        <v>123000000</v>
      </c>
    </row>
    <row r="171" spans="1:7" x14ac:dyDescent="0.25">
      <c r="A171" s="105" t="s">
        <v>3925</v>
      </c>
      <c r="B171" s="38">
        <v>-35000</v>
      </c>
      <c r="C171" s="73" t="s">
        <v>3933</v>
      </c>
      <c r="D171" s="105">
        <v>1</v>
      </c>
      <c r="E171" s="105">
        <f t="shared" si="8"/>
        <v>42</v>
      </c>
      <c r="F171" s="105">
        <f t="shared" si="5"/>
        <v>0</v>
      </c>
      <c r="G171" s="105">
        <f t="shared" si="4"/>
        <v>-1470000</v>
      </c>
    </row>
    <row r="172" spans="1:7" x14ac:dyDescent="0.25">
      <c r="A172" s="105" t="s">
        <v>3934</v>
      </c>
      <c r="B172" s="38">
        <v>2500000</v>
      </c>
      <c r="C172" s="73" t="s">
        <v>3930</v>
      </c>
      <c r="D172" s="105">
        <v>1</v>
      </c>
      <c r="E172" s="105">
        <f t="shared" si="8"/>
        <v>41</v>
      </c>
      <c r="F172" s="105">
        <f t="shared" si="5"/>
        <v>1</v>
      </c>
      <c r="G172" s="105">
        <f t="shared" si="4"/>
        <v>100000000</v>
      </c>
    </row>
    <row r="173" spans="1:7" x14ac:dyDescent="0.25">
      <c r="A173" s="105" t="s">
        <v>3938</v>
      </c>
      <c r="B173" s="38">
        <v>-130640</v>
      </c>
      <c r="C173" s="73" t="s">
        <v>3939</v>
      </c>
      <c r="D173" s="105">
        <v>5</v>
      </c>
      <c r="E173" s="105">
        <f t="shared" si="8"/>
        <v>40</v>
      </c>
      <c r="F173" s="105">
        <f t="shared" si="5"/>
        <v>0</v>
      </c>
      <c r="G173" s="105">
        <f t="shared" si="4"/>
        <v>-5225600</v>
      </c>
    </row>
    <row r="174" spans="1:7" x14ac:dyDescent="0.25">
      <c r="A174" s="105" t="s">
        <v>3952</v>
      </c>
      <c r="B174" s="38">
        <v>-4800000</v>
      </c>
      <c r="C174" s="73" t="s">
        <v>3953</v>
      </c>
      <c r="D174" s="105">
        <v>0</v>
      </c>
      <c r="E174" s="105">
        <f t="shared" si="8"/>
        <v>35</v>
      </c>
      <c r="F174" s="105">
        <f t="shared" si="5"/>
        <v>0</v>
      </c>
      <c r="G174" s="105">
        <f t="shared" si="4"/>
        <v>-168000000</v>
      </c>
    </row>
    <row r="175" spans="1:7" x14ac:dyDescent="0.25">
      <c r="A175" s="105" t="s">
        <v>3952</v>
      </c>
      <c r="B175" s="38">
        <v>-320000</v>
      </c>
      <c r="C175" s="73" t="s">
        <v>3954</v>
      </c>
      <c r="D175" s="105">
        <v>0</v>
      </c>
      <c r="E175" s="105">
        <f t="shared" si="8"/>
        <v>35</v>
      </c>
      <c r="F175" s="105">
        <f t="shared" si="5"/>
        <v>0</v>
      </c>
      <c r="G175" s="105">
        <f t="shared" si="4"/>
        <v>-11200000</v>
      </c>
    </row>
    <row r="176" spans="1:7" x14ac:dyDescent="0.25">
      <c r="A176" s="105" t="s">
        <v>3952</v>
      </c>
      <c r="B176" s="38">
        <v>-493437</v>
      </c>
      <c r="C176" s="73" t="s">
        <v>608</v>
      </c>
      <c r="D176" s="105">
        <v>10</v>
      </c>
      <c r="E176" s="105">
        <f t="shared" si="8"/>
        <v>35</v>
      </c>
      <c r="F176" s="105">
        <f t="shared" si="5"/>
        <v>0</v>
      </c>
      <c r="G176" s="105">
        <f t="shared" si="4"/>
        <v>-17270295</v>
      </c>
    </row>
    <row r="177" spans="1:7" x14ac:dyDescent="0.25">
      <c r="A177" s="105" t="s">
        <v>3993</v>
      </c>
      <c r="B177" s="38">
        <v>-80000</v>
      </c>
      <c r="C177" s="73" t="s">
        <v>761</v>
      </c>
      <c r="D177" s="105">
        <v>0</v>
      </c>
      <c r="E177" s="105">
        <f t="shared" si="8"/>
        <v>25</v>
      </c>
      <c r="F177" s="105">
        <f t="shared" si="5"/>
        <v>0</v>
      </c>
      <c r="G177" s="105">
        <f t="shared" si="4"/>
        <v>-2000000</v>
      </c>
    </row>
    <row r="178" spans="1:7" x14ac:dyDescent="0.25">
      <c r="A178" s="105" t="s">
        <v>3993</v>
      </c>
      <c r="B178" s="38">
        <v>-100000</v>
      </c>
      <c r="C178" s="73" t="s">
        <v>3994</v>
      </c>
      <c r="D178" s="105">
        <v>1</v>
      </c>
      <c r="E178" s="105">
        <f t="shared" si="8"/>
        <v>25</v>
      </c>
      <c r="F178" s="105">
        <f t="shared" si="5"/>
        <v>0</v>
      </c>
      <c r="G178" s="105">
        <f t="shared" si="4"/>
        <v>-2500000</v>
      </c>
    </row>
    <row r="179" spans="1:7" x14ac:dyDescent="0.25">
      <c r="A179" s="105" t="s">
        <v>4004</v>
      </c>
      <c r="B179" s="38">
        <v>14371</v>
      </c>
      <c r="C179" s="73" t="s">
        <v>669</v>
      </c>
      <c r="D179" s="105">
        <v>2</v>
      </c>
      <c r="E179" s="105">
        <f t="shared" si="8"/>
        <v>24</v>
      </c>
      <c r="F179" s="105">
        <f t="shared" si="5"/>
        <v>1</v>
      </c>
      <c r="G179" s="105">
        <f t="shared" si="4"/>
        <v>330533</v>
      </c>
    </row>
    <row r="180" spans="1:7" x14ac:dyDescent="0.25">
      <c r="A180" s="105" t="s">
        <v>4008</v>
      </c>
      <c r="B180" s="38">
        <v>-39030</v>
      </c>
      <c r="C180" s="73" t="s">
        <v>4009</v>
      </c>
      <c r="D180" s="105">
        <v>2</v>
      </c>
      <c r="E180" s="105">
        <f t="shared" si="8"/>
        <v>22</v>
      </c>
      <c r="F180" s="105">
        <f t="shared" si="5"/>
        <v>0</v>
      </c>
      <c r="G180" s="105">
        <f t="shared" si="4"/>
        <v>-858660</v>
      </c>
    </row>
    <row r="181" spans="1:7" x14ac:dyDescent="0.25">
      <c r="A181" s="105" t="s">
        <v>4014</v>
      </c>
      <c r="B181" s="38">
        <v>-32000</v>
      </c>
      <c r="C181" s="73" t="s">
        <v>4015</v>
      </c>
      <c r="D181" s="105">
        <v>2</v>
      </c>
      <c r="E181" s="105">
        <f t="shared" ref="E181:E195" si="9">D181+E182</f>
        <v>20</v>
      </c>
      <c r="F181" s="105">
        <f t="shared" si="5"/>
        <v>0</v>
      </c>
      <c r="G181" s="105">
        <f t="shared" si="4"/>
        <v>-640000</v>
      </c>
    </row>
    <row r="182" spans="1:7" x14ac:dyDescent="0.25">
      <c r="A182" s="105" t="s">
        <v>4018</v>
      </c>
      <c r="B182" s="38">
        <v>-100000</v>
      </c>
      <c r="C182" s="73" t="s">
        <v>158</v>
      </c>
      <c r="D182" s="105">
        <v>1</v>
      </c>
      <c r="E182" s="105">
        <f t="shared" si="9"/>
        <v>18</v>
      </c>
      <c r="F182" s="105">
        <f t="shared" si="5"/>
        <v>0</v>
      </c>
      <c r="G182" s="105">
        <f t="shared" si="4"/>
        <v>-1800000</v>
      </c>
    </row>
    <row r="183" spans="1:7" x14ac:dyDescent="0.25">
      <c r="A183" s="105" t="s">
        <v>4020</v>
      </c>
      <c r="B183" s="38">
        <v>-20000</v>
      </c>
      <c r="C183" s="73" t="s">
        <v>4021</v>
      </c>
      <c r="D183" s="105">
        <v>1</v>
      </c>
      <c r="E183" s="105">
        <f t="shared" si="9"/>
        <v>17</v>
      </c>
      <c r="F183" s="105">
        <f t="shared" si="5"/>
        <v>0</v>
      </c>
      <c r="G183" s="105">
        <f t="shared" si="4"/>
        <v>-340000</v>
      </c>
    </row>
    <row r="184" spans="1:7" x14ac:dyDescent="0.25">
      <c r="A184" s="105" t="s">
        <v>994</v>
      </c>
      <c r="B184" s="38">
        <v>-8185</v>
      </c>
      <c r="C184" s="73" t="s">
        <v>4024</v>
      </c>
      <c r="D184" s="105">
        <v>2</v>
      </c>
      <c r="E184" s="105">
        <f t="shared" si="9"/>
        <v>16</v>
      </c>
      <c r="F184" s="105">
        <f t="shared" si="5"/>
        <v>0</v>
      </c>
      <c r="G184" s="105">
        <f t="shared" si="4"/>
        <v>-130960</v>
      </c>
    </row>
    <row r="185" spans="1:7" x14ac:dyDescent="0.25">
      <c r="A185" s="105" t="s">
        <v>4029</v>
      </c>
      <c r="B185" s="38">
        <v>-60100</v>
      </c>
      <c r="C185" s="73" t="s">
        <v>4030</v>
      </c>
      <c r="D185" s="105">
        <v>0</v>
      </c>
      <c r="E185" s="105">
        <f t="shared" si="9"/>
        <v>14</v>
      </c>
      <c r="F185" s="105">
        <f t="shared" si="5"/>
        <v>0</v>
      </c>
      <c r="G185" s="105">
        <f t="shared" si="4"/>
        <v>-841400</v>
      </c>
    </row>
    <row r="186" spans="1:7" x14ac:dyDescent="0.25">
      <c r="A186" s="105" t="s">
        <v>4029</v>
      </c>
      <c r="B186" s="38">
        <v>-32300</v>
      </c>
      <c r="C186" s="73" t="s">
        <v>655</v>
      </c>
      <c r="D186" s="105">
        <v>4</v>
      </c>
      <c r="E186" s="105">
        <f t="shared" si="9"/>
        <v>14</v>
      </c>
      <c r="F186" s="105">
        <f t="shared" si="5"/>
        <v>0</v>
      </c>
      <c r="G186" s="105">
        <f t="shared" si="4"/>
        <v>-452200</v>
      </c>
    </row>
    <row r="187" spans="1:7" x14ac:dyDescent="0.25">
      <c r="A187" s="105" t="s">
        <v>4058</v>
      </c>
      <c r="B187" s="38">
        <v>-32725</v>
      </c>
      <c r="C187" s="73" t="s">
        <v>655</v>
      </c>
      <c r="D187" s="105">
        <v>5</v>
      </c>
      <c r="E187" s="105">
        <f t="shared" si="9"/>
        <v>10</v>
      </c>
      <c r="F187" s="105">
        <f t="shared" si="5"/>
        <v>0</v>
      </c>
      <c r="G187" s="105">
        <f t="shared" si="4"/>
        <v>-327250</v>
      </c>
    </row>
    <row r="188" spans="1:7" x14ac:dyDescent="0.25">
      <c r="A188" s="105" t="s">
        <v>4079</v>
      </c>
      <c r="B188" s="38">
        <v>-16000</v>
      </c>
      <c r="C188" s="73" t="s">
        <v>4080</v>
      </c>
      <c r="D188" s="105">
        <v>1</v>
      </c>
      <c r="E188" s="105">
        <f t="shared" si="9"/>
        <v>5</v>
      </c>
      <c r="F188" s="105">
        <f t="shared" si="5"/>
        <v>0</v>
      </c>
      <c r="G188" s="105">
        <f t="shared" si="4"/>
        <v>-80000</v>
      </c>
    </row>
    <row r="189" spans="1:7" x14ac:dyDescent="0.25">
      <c r="A189" s="105" t="s">
        <v>4082</v>
      </c>
      <c r="B189" s="38">
        <v>-16932</v>
      </c>
      <c r="C189" s="73" t="s">
        <v>655</v>
      </c>
      <c r="D189" s="105">
        <v>3</v>
      </c>
      <c r="E189" s="105">
        <f t="shared" si="9"/>
        <v>4</v>
      </c>
      <c r="F189" s="105">
        <f t="shared" si="5"/>
        <v>0</v>
      </c>
      <c r="G189" s="105">
        <f t="shared" si="4"/>
        <v>-67728</v>
      </c>
    </row>
    <row r="190" spans="1:7" x14ac:dyDescent="0.25">
      <c r="A190" s="105" t="s">
        <v>4090</v>
      </c>
      <c r="B190" s="38">
        <v>-10350</v>
      </c>
      <c r="C190" s="73" t="s">
        <v>4091</v>
      </c>
      <c r="D190" s="105">
        <v>1</v>
      </c>
      <c r="E190" s="105">
        <f t="shared" si="9"/>
        <v>1</v>
      </c>
      <c r="F190" s="105">
        <f t="shared" si="5"/>
        <v>0</v>
      </c>
      <c r="G190" s="105">
        <f t="shared" si="4"/>
        <v>-10350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H7" zoomScaleNormal="100" workbookViewId="0">
      <selection activeCell="T34" sqref="T3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1129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1187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3711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3831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-4463502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4005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101330261</v>
      </c>
      <c r="G19" s="29">
        <f t="shared" si="0"/>
        <v>3910827.5822300017</v>
      </c>
      <c r="H19" s="11"/>
      <c r="K19" s="2" t="s">
        <v>85</v>
      </c>
      <c r="L19" s="43">
        <f>-مرداد97!D74</f>
        <v>6713822</v>
      </c>
      <c r="M19" s="2" t="s">
        <v>4002</v>
      </c>
      <c r="N19" s="3">
        <f>1608*P28</f>
        <v>5653728</v>
      </c>
      <c r="O19" s="188" t="s">
        <v>4070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150000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-6713822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400000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1093</v>
      </c>
      <c r="L24" s="43">
        <f>سکه!T22</f>
        <v>91000000</v>
      </c>
      <c r="M24" s="2" t="s">
        <v>4007</v>
      </c>
      <c r="N24" s="3">
        <v>3800000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1093</v>
      </c>
      <c r="N25" s="3">
        <v>106500000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3927</v>
      </c>
      <c r="N27" s="119">
        <v>673</v>
      </c>
      <c r="O27" s="105" t="s">
        <v>941</v>
      </c>
      <c r="P27" s="105" t="s">
        <v>3969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1184</v>
      </c>
      <c r="L28" s="123">
        <v>25600</v>
      </c>
      <c r="M28" s="118" t="s">
        <v>4026</v>
      </c>
      <c r="N28" s="119">
        <f>O28*P28</f>
        <v>8533332</v>
      </c>
      <c r="O28" s="105">
        <v>2427</v>
      </c>
      <c r="P28" s="105">
        <v>3516</v>
      </c>
      <c r="Q28" s="38">
        <v>2458039</v>
      </c>
      <c r="R28" s="118" t="s">
        <v>3952</v>
      </c>
      <c r="S28" s="118">
        <v>41</v>
      </c>
      <c r="T28" s="73" t="s">
        <v>4053</v>
      </c>
      <c r="U28" s="119">
        <f>Q28*0.02*S28/31</f>
        <v>65019.096129032259</v>
      </c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1185</v>
      </c>
      <c r="L29" s="123">
        <v>7637</v>
      </c>
      <c r="M29" s="32" t="s">
        <v>4118</v>
      </c>
      <c r="N29" s="119">
        <f>O29*P29</f>
        <v>68447258.700000003</v>
      </c>
      <c r="O29" s="105">
        <v>417107</v>
      </c>
      <c r="P29" s="105">
        <v>164.1</v>
      </c>
      <c r="Q29" s="38">
        <v>373342</v>
      </c>
      <c r="R29" s="118" t="s">
        <v>4069</v>
      </c>
      <c r="S29" s="118">
        <f>S28-27</f>
        <v>14</v>
      </c>
      <c r="T29" s="118" t="s">
        <v>4116</v>
      </c>
      <c r="U29" s="119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4069</v>
      </c>
      <c r="S30" s="118">
        <f>S29</f>
        <v>14</v>
      </c>
      <c r="T30" s="118" t="s">
        <v>4071</v>
      </c>
      <c r="U30" s="119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3988</v>
      </c>
      <c r="L31" s="123">
        <v>-1600000</v>
      </c>
      <c r="M31" s="56"/>
      <c r="N31" s="119" t="s">
        <v>25</v>
      </c>
      <c r="O31" s="182"/>
      <c r="P31" s="69"/>
      <c r="Q31" s="181">
        <v>2996679</v>
      </c>
      <c r="R31" s="8" t="s">
        <v>4085</v>
      </c>
      <c r="S31">
        <f>S30-1</f>
        <v>13</v>
      </c>
      <c r="T31" s="8" t="s">
        <v>4084</v>
      </c>
      <c r="U31" s="119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4072</v>
      </c>
      <c r="L32" s="123">
        <v>-800000</v>
      </c>
      <c r="M32" s="105"/>
      <c r="N32" s="105"/>
      <c r="P32" s="105"/>
      <c r="Q32" s="38">
        <v>793693</v>
      </c>
      <c r="R32" s="118" t="s">
        <v>4082</v>
      </c>
      <c r="S32" s="118">
        <f>S31-3</f>
        <v>10</v>
      </c>
      <c r="T32" s="118" t="s">
        <v>4083</v>
      </c>
      <c r="U32" s="119"/>
    </row>
    <row r="33" spans="1:21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/>
      <c r="N33" s="119"/>
      <c r="O33" s="187"/>
      <c r="P33" s="105"/>
      <c r="Q33" s="118">
        <v>69219818</v>
      </c>
      <c r="R33" s="118" t="s">
        <v>4113</v>
      </c>
      <c r="S33" s="118">
        <f>S32-10</f>
        <v>0</v>
      </c>
      <c r="T33" s="118" t="s">
        <v>4119</v>
      </c>
    </row>
    <row r="34" spans="1:21" ht="30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4077</v>
      </c>
      <c r="N34" s="123">
        <f>-840*P28</f>
        <v>-2953440</v>
      </c>
      <c r="O34" s="105"/>
      <c r="P34" s="105"/>
      <c r="Q34" s="118"/>
      <c r="R34" s="118"/>
      <c r="S34" s="118"/>
      <c r="T34" s="118"/>
    </row>
    <row r="35" spans="1:21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19">
        <f>SUM(N28:N33)-SUM(Q28:Q33)</f>
        <v>40291.70000000298</v>
      </c>
      <c r="R35" s="118"/>
      <c r="S35" s="118"/>
      <c r="T35" s="118"/>
    </row>
    <row r="36" spans="1:21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3999</v>
      </c>
      <c r="N36" s="179">
        <v>3865000</v>
      </c>
      <c r="O36" t="s">
        <v>4099</v>
      </c>
    </row>
    <row r="37" spans="1:21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101330261</v>
      </c>
      <c r="M37" s="2"/>
      <c r="N37" s="3">
        <f>SUM(N16:N35)</f>
        <v>183422532.69999999</v>
      </c>
    </row>
    <row r="38" spans="1:21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216439</v>
      </c>
      <c r="M38" s="2"/>
      <c r="N38" s="3">
        <f>N16+N17+N22</f>
        <v>-4045197</v>
      </c>
      <c r="O38" t="s">
        <v>25</v>
      </c>
      <c r="Q38" t="s">
        <v>25</v>
      </c>
    </row>
    <row r="39" spans="1:21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158330261</v>
      </c>
      <c r="M39" s="3"/>
      <c r="N39" s="2"/>
      <c r="R39" t="s">
        <v>25</v>
      </c>
      <c r="T39" t="s">
        <v>25</v>
      </c>
      <c r="U39" t="s">
        <v>4031</v>
      </c>
    </row>
    <row r="40" spans="1:21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t="s">
        <v>4112</v>
      </c>
      <c r="Q40" t="s">
        <v>25</v>
      </c>
      <c r="R40" t="s">
        <v>25</v>
      </c>
      <c r="U40" t="s">
        <v>4032</v>
      </c>
    </row>
    <row r="41" spans="1:21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4033</v>
      </c>
    </row>
    <row r="42" spans="1:21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4034</v>
      </c>
    </row>
    <row r="43" spans="1:21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4035</v>
      </c>
    </row>
    <row r="44" spans="1:21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1142</v>
      </c>
      <c r="R44" s="118"/>
      <c r="U44" t="s">
        <v>4036</v>
      </c>
    </row>
    <row r="45" spans="1:21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1157</v>
      </c>
      <c r="U45" s="186" t="s">
        <v>4037</v>
      </c>
    </row>
    <row r="46" spans="1:21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/>
      <c r="N46" s="9"/>
      <c r="Q46" s="14">
        <v>125000</v>
      </c>
      <c r="R46" s="118" t="s">
        <v>1158</v>
      </c>
      <c r="U46" t="s">
        <v>4038</v>
      </c>
    </row>
    <row r="47" spans="1:21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/>
      <c r="N47" s="9"/>
      <c r="Q47" s="14">
        <v>-6000000</v>
      </c>
      <c r="R47" s="118" t="s">
        <v>1159</v>
      </c>
      <c r="U47" t="s">
        <v>4039</v>
      </c>
    </row>
    <row r="48" spans="1:21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3999</v>
      </c>
      <c r="N48" s="9">
        <v>3.8650000000000002</v>
      </c>
      <c r="P48" t="s">
        <v>3991</v>
      </c>
      <c r="Q48" s="14">
        <f>مرداد97!C24</f>
        <v>7835443</v>
      </c>
      <c r="R48" s="118" t="s">
        <v>1160</v>
      </c>
      <c r="U48" t="s">
        <v>4040</v>
      </c>
    </row>
    <row r="49" spans="1:21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1159</v>
      </c>
      <c r="N49" s="9">
        <v>0.4</v>
      </c>
      <c r="Q49" s="14">
        <v>57600000</v>
      </c>
      <c r="R49" s="56" t="s">
        <v>3754</v>
      </c>
      <c r="U49" t="s">
        <v>4041</v>
      </c>
    </row>
    <row r="50" spans="1:21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3991</v>
      </c>
      <c r="Q50" s="14">
        <v>2000000</v>
      </c>
      <c r="R50" s="56" t="s">
        <v>1161</v>
      </c>
      <c r="U50" t="s">
        <v>4074</v>
      </c>
    </row>
    <row r="51" spans="1:21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4.2650000000000006</v>
      </c>
      <c r="Q52" s="123">
        <v>2000000</v>
      </c>
      <c r="R52" s="56" t="s">
        <v>1162</v>
      </c>
    </row>
    <row r="53" spans="1:21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3992</v>
      </c>
    </row>
    <row r="54" spans="1:21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1153</v>
      </c>
    </row>
    <row r="55" spans="1:21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3944</v>
      </c>
    </row>
    <row r="56" spans="1:21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1164</v>
      </c>
    </row>
    <row r="63" spans="1:21" x14ac:dyDescent="0.25">
      <c r="E63" s="26"/>
      <c r="K63" s="32" t="s">
        <v>324</v>
      </c>
      <c r="L63" s="1">
        <v>75000</v>
      </c>
      <c r="Q63" s="123"/>
      <c r="R63" s="56"/>
    </row>
    <row r="64" spans="1:21" x14ac:dyDescent="0.25">
      <c r="E64" s="26"/>
      <c r="K64" s="32" t="s">
        <v>314</v>
      </c>
      <c r="L64" s="1">
        <v>140000</v>
      </c>
      <c r="Q64" s="123"/>
      <c r="R64" s="56"/>
    </row>
    <row r="65" spans="1:28" x14ac:dyDescent="0.25">
      <c r="K65" s="2" t="s">
        <v>478</v>
      </c>
      <c r="L65" s="3">
        <v>1666666</v>
      </c>
    </row>
    <row r="66" spans="1:28" x14ac:dyDescent="0.25">
      <c r="K66" s="2"/>
      <c r="L66" s="3"/>
    </row>
    <row r="67" spans="1:28" x14ac:dyDescent="0.25">
      <c r="A67" t="s">
        <v>25</v>
      </c>
      <c r="K67" s="2"/>
      <c r="L67" s="3"/>
    </row>
    <row r="68" spans="1:28" x14ac:dyDescent="0.25">
      <c r="K68" s="2" t="s">
        <v>6</v>
      </c>
      <c r="L68" s="3">
        <f>SUM(L45:L66)</f>
        <v>3966666</v>
      </c>
      <c r="O68" t="s">
        <v>1273</v>
      </c>
      <c r="P68" t="s">
        <v>180</v>
      </c>
      <c r="Q68" t="s">
        <v>952</v>
      </c>
      <c r="R68" t="s">
        <v>4062</v>
      </c>
      <c r="S68" s="121"/>
      <c r="T68" s="121"/>
    </row>
    <row r="69" spans="1:28" x14ac:dyDescent="0.25">
      <c r="K69" s="2" t="s">
        <v>328</v>
      </c>
      <c r="L69" s="3">
        <f>L68/30</f>
        <v>132222.20000000001</v>
      </c>
      <c r="N69" t="s">
        <v>4060</v>
      </c>
      <c r="O69">
        <v>3452.8</v>
      </c>
      <c r="P69" t="s">
        <v>4058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 x14ac:dyDescent="0.25">
      <c r="N70" t="s">
        <v>4061</v>
      </c>
      <c r="O70">
        <v>185</v>
      </c>
      <c r="P70" s="121" t="s">
        <v>4058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 x14ac:dyDescent="0.25">
      <c r="N71" t="s">
        <v>4061</v>
      </c>
      <c r="O71">
        <v>193.8</v>
      </c>
      <c r="P71" s="134" t="s">
        <v>4056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 x14ac:dyDescent="0.25">
      <c r="N72" t="s">
        <v>4055</v>
      </c>
      <c r="O72" s="121">
        <v>603.79999999999995</v>
      </c>
      <c r="P72" s="134" t="s">
        <v>4056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 x14ac:dyDescent="0.25">
      <c r="N73" t="s">
        <v>4055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 x14ac:dyDescent="0.25">
      <c r="N74" t="s">
        <v>4060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 x14ac:dyDescent="0.25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 x14ac:dyDescent="0.25">
      <c r="K76" s="47">
        <v>1150000</v>
      </c>
      <c r="L76" s="48" t="s">
        <v>1043</v>
      </c>
      <c r="V76" s="121"/>
      <c r="W76" s="121"/>
      <c r="X76" s="121"/>
      <c r="Y76" s="121"/>
      <c r="Z76" s="121"/>
      <c r="AA76" s="121"/>
      <c r="AB76" s="121"/>
    </row>
    <row r="77" spans="1:28" ht="30" x14ac:dyDescent="0.25">
      <c r="K77" s="47">
        <v>500000</v>
      </c>
      <c r="L77" s="48" t="s">
        <v>479</v>
      </c>
      <c r="N77" t="s">
        <v>4065</v>
      </c>
      <c r="O77">
        <v>5.8109999999999999</v>
      </c>
      <c r="P77">
        <f>O77/1.0152</f>
        <v>5.7239952718676115</v>
      </c>
      <c r="Q77" s="22" t="s">
        <v>4066</v>
      </c>
      <c r="V77" s="121"/>
      <c r="W77" s="121"/>
      <c r="X77" s="121"/>
      <c r="Y77" s="121"/>
      <c r="Z77" s="121"/>
      <c r="AA77" s="121"/>
      <c r="AB77" s="121"/>
    </row>
    <row r="78" spans="1:28" x14ac:dyDescent="0.25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 x14ac:dyDescent="0.25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 x14ac:dyDescent="0.25">
      <c r="K80" s="47">
        <v>0</v>
      </c>
      <c r="L80" s="48" t="s">
        <v>787</v>
      </c>
      <c r="N80" t="s">
        <v>4063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 x14ac:dyDescent="0.25">
      <c r="K81" s="47">
        <v>500000</v>
      </c>
      <c r="L81" s="48" t="s">
        <v>788</v>
      </c>
      <c r="N81" t="s">
        <v>4064</v>
      </c>
      <c r="O81">
        <v>603</v>
      </c>
      <c r="P81">
        <f>O80/O81</f>
        <v>6.006633499170813</v>
      </c>
    </row>
    <row r="82" spans="11:16" x14ac:dyDescent="0.25">
      <c r="K82" s="47">
        <v>75000</v>
      </c>
      <c r="L82" s="48" t="s">
        <v>789</v>
      </c>
    </row>
    <row r="83" spans="11:16" x14ac:dyDescent="0.25">
      <c r="K83" s="47">
        <v>450000</v>
      </c>
      <c r="L83" s="48" t="s">
        <v>791</v>
      </c>
    </row>
    <row r="84" spans="11:16" x14ac:dyDescent="0.25">
      <c r="K84" s="47">
        <v>500000</v>
      </c>
      <c r="L84" s="48" t="s">
        <v>564</v>
      </c>
    </row>
    <row r="85" spans="11:16" x14ac:dyDescent="0.25">
      <c r="K85" s="47">
        <v>50000</v>
      </c>
      <c r="L85" s="48" t="s">
        <v>794</v>
      </c>
    </row>
    <row r="86" spans="11:16" x14ac:dyDescent="0.25">
      <c r="K86" s="47">
        <v>140000</v>
      </c>
      <c r="L86" s="48" t="s">
        <v>314</v>
      </c>
    </row>
    <row r="87" spans="11:16" x14ac:dyDescent="0.25">
      <c r="K87" s="47"/>
      <c r="L87" s="48" t="s">
        <v>25</v>
      </c>
    </row>
    <row r="88" spans="11:16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531</v>
      </c>
      <c r="F2" s="105">
        <f t="shared" ref="F2:F46" si="0">IF(B2&gt;0,1,0)</f>
        <v>1</v>
      </c>
      <c r="G2" s="105">
        <f>B2*(E2-F2)</f>
        <v>26500000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525</v>
      </c>
      <c r="F3" s="105">
        <f t="shared" si="0"/>
        <v>1</v>
      </c>
      <c r="G3" s="105">
        <f t="shared" ref="G3:G47" si="2">B3*(E3-F3)</f>
        <v>7860000000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523</v>
      </c>
      <c r="F4" s="105">
        <f t="shared" si="0"/>
        <v>0</v>
      </c>
      <c r="G4" s="105">
        <f t="shared" si="2"/>
        <v>-1569000000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522</v>
      </c>
      <c r="F5" s="105">
        <f t="shared" si="0"/>
        <v>0</v>
      </c>
      <c r="G5" s="105">
        <f t="shared" si="2"/>
        <v>-1670869800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520</v>
      </c>
      <c r="F6" s="105">
        <f t="shared" si="0"/>
        <v>0</v>
      </c>
      <c r="G6" s="105">
        <f>B6*(E6-F6)</f>
        <v>-1560468000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518</v>
      </c>
      <c r="F7" s="105">
        <f t="shared" si="0"/>
        <v>0</v>
      </c>
      <c r="G7" s="105">
        <f t="shared" si="2"/>
        <v>-3007456200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496</v>
      </c>
      <c r="F8" s="105">
        <f t="shared" si="0"/>
        <v>1</v>
      </c>
      <c r="G8" s="105">
        <f t="shared" si="2"/>
        <v>26936415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224</v>
      </c>
      <c r="F9" s="105">
        <f t="shared" si="0"/>
        <v>0</v>
      </c>
      <c r="G9" s="105">
        <f>B9*(E9-F9)</f>
        <v>-17920000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159</v>
      </c>
      <c r="F10" s="105">
        <f t="shared" si="0"/>
        <v>1</v>
      </c>
      <c r="G10" s="105">
        <f t="shared" si="2"/>
        <v>134300000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145</v>
      </c>
      <c r="F11" s="105">
        <f t="shared" si="0"/>
        <v>0</v>
      </c>
      <c r="G11" s="105">
        <f t="shared" si="2"/>
        <v>-101500000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139</v>
      </c>
      <c r="F12" s="105">
        <f t="shared" si="0"/>
        <v>1</v>
      </c>
      <c r="G12" s="105">
        <f t="shared" si="2"/>
        <v>138000000</v>
      </c>
    </row>
    <row r="13" spans="1:7" x14ac:dyDescent="0.25">
      <c r="A13" s="105" t="s">
        <v>1038</v>
      </c>
      <c r="B13" s="119">
        <v>4857</v>
      </c>
      <c r="C13" s="105" t="s">
        <v>475</v>
      </c>
      <c r="D13" s="105">
        <v>1</v>
      </c>
      <c r="E13" s="105">
        <f t="shared" si="1"/>
        <v>131</v>
      </c>
      <c r="F13" s="105">
        <f t="shared" si="0"/>
        <v>1</v>
      </c>
      <c r="G13" s="105">
        <f t="shared" si="2"/>
        <v>631410</v>
      </c>
    </row>
    <row r="14" spans="1:7" x14ac:dyDescent="0.25">
      <c r="A14" s="105" t="s">
        <v>1044</v>
      </c>
      <c r="B14" s="119">
        <v>-191000</v>
      </c>
      <c r="C14" s="105" t="s">
        <v>923</v>
      </c>
      <c r="D14" s="105">
        <v>15</v>
      </c>
      <c r="E14" s="105">
        <f t="shared" si="1"/>
        <v>130</v>
      </c>
      <c r="F14" s="105">
        <f t="shared" si="0"/>
        <v>0</v>
      </c>
      <c r="G14" s="105">
        <f t="shared" si="2"/>
        <v>-24830000</v>
      </c>
    </row>
    <row r="15" spans="1:7" x14ac:dyDescent="0.25">
      <c r="A15" s="105" t="s">
        <v>1086</v>
      </c>
      <c r="B15" s="119">
        <v>-200000</v>
      </c>
      <c r="C15" s="105" t="s">
        <v>812</v>
      </c>
      <c r="D15" s="105">
        <v>16</v>
      </c>
      <c r="E15" s="105">
        <f t="shared" si="1"/>
        <v>115</v>
      </c>
      <c r="F15" s="105">
        <f t="shared" si="0"/>
        <v>0</v>
      </c>
      <c r="G15" s="105">
        <f t="shared" si="2"/>
        <v>-23000000</v>
      </c>
    </row>
    <row r="16" spans="1:7" x14ac:dyDescent="0.25">
      <c r="A16" s="105" t="s">
        <v>1195</v>
      </c>
      <c r="B16" s="119">
        <v>-694356</v>
      </c>
      <c r="C16" s="105" t="s">
        <v>1196</v>
      </c>
      <c r="D16" s="105">
        <v>7</v>
      </c>
      <c r="E16" s="105">
        <f t="shared" si="1"/>
        <v>99</v>
      </c>
      <c r="F16" s="105">
        <f t="shared" si="0"/>
        <v>0</v>
      </c>
      <c r="G16" s="105">
        <f t="shared" si="2"/>
        <v>-68741244</v>
      </c>
    </row>
    <row r="17" spans="1:7" x14ac:dyDescent="0.25">
      <c r="A17" s="105" t="s">
        <v>1207</v>
      </c>
      <c r="B17" s="119">
        <v>50000</v>
      </c>
      <c r="C17" s="105" t="s">
        <v>1221</v>
      </c>
      <c r="D17" s="105">
        <v>23</v>
      </c>
      <c r="E17" s="105">
        <f t="shared" si="1"/>
        <v>92</v>
      </c>
      <c r="F17" s="105">
        <f t="shared" si="0"/>
        <v>1</v>
      </c>
      <c r="G17" s="105">
        <f t="shared" si="2"/>
        <v>4550000</v>
      </c>
    </row>
    <row r="18" spans="1:7" x14ac:dyDescent="0.25">
      <c r="A18" s="105" t="s">
        <v>3709</v>
      </c>
      <c r="B18" s="119">
        <v>1047</v>
      </c>
      <c r="C18" s="105" t="s">
        <v>3712</v>
      </c>
      <c r="D18" s="105">
        <v>8</v>
      </c>
      <c r="E18" s="105">
        <f>E19+D18</f>
        <v>69</v>
      </c>
      <c r="F18" s="105">
        <f t="shared" si="0"/>
        <v>1</v>
      </c>
      <c r="G18" s="105">
        <f t="shared" si="2"/>
        <v>71196</v>
      </c>
    </row>
    <row r="19" spans="1:7" x14ac:dyDescent="0.25">
      <c r="A19" s="105" t="s">
        <v>3745</v>
      </c>
      <c r="B19" s="119">
        <v>785500</v>
      </c>
      <c r="C19" s="105" t="s">
        <v>3749</v>
      </c>
      <c r="D19" s="105">
        <v>1</v>
      </c>
      <c r="E19" s="105">
        <f t="shared" si="1"/>
        <v>61</v>
      </c>
      <c r="F19" s="105">
        <f t="shared" si="0"/>
        <v>1</v>
      </c>
      <c r="G19" s="105">
        <f t="shared" si="2"/>
        <v>47130000</v>
      </c>
    </row>
    <row r="20" spans="1:7" x14ac:dyDescent="0.25">
      <c r="A20" s="105" t="s">
        <v>3842</v>
      </c>
      <c r="B20" s="119">
        <v>-57500</v>
      </c>
      <c r="C20" s="105" t="s">
        <v>1023</v>
      </c>
      <c r="D20" s="105">
        <v>0</v>
      </c>
      <c r="E20" s="105">
        <f>E21+D20</f>
        <v>60</v>
      </c>
      <c r="F20" s="105">
        <f t="shared" si="0"/>
        <v>0</v>
      </c>
      <c r="G20" s="105">
        <f t="shared" si="2"/>
        <v>-3450000</v>
      </c>
    </row>
    <row r="21" spans="1:7" x14ac:dyDescent="0.25">
      <c r="A21" s="105" t="s">
        <v>3842</v>
      </c>
      <c r="B21" s="119">
        <v>6099</v>
      </c>
      <c r="C21" s="105" t="s">
        <v>585</v>
      </c>
      <c r="D21" s="105">
        <v>10</v>
      </c>
      <c r="E21" s="105">
        <f t="shared" ref="E21:E31" si="3">E22+D21</f>
        <v>60</v>
      </c>
      <c r="F21" s="105">
        <f t="shared" si="0"/>
        <v>1</v>
      </c>
      <c r="G21" s="105">
        <f t="shared" si="2"/>
        <v>359841</v>
      </c>
    </row>
    <row r="22" spans="1:7" x14ac:dyDescent="0.25">
      <c r="A22" s="105" t="s">
        <v>3956</v>
      </c>
      <c r="B22" s="119">
        <v>-85000</v>
      </c>
      <c r="C22" s="105" t="s">
        <v>3967</v>
      </c>
      <c r="D22" s="105">
        <v>4</v>
      </c>
      <c r="E22" s="105">
        <f t="shared" si="3"/>
        <v>50</v>
      </c>
      <c r="F22" s="105">
        <f t="shared" si="0"/>
        <v>0</v>
      </c>
      <c r="G22" s="105">
        <f t="shared" si="2"/>
        <v>-4250000</v>
      </c>
    </row>
    <row r="23" spans="1:7" x14ac:dyDescent="0.25">
      <c r="A23" s="69" t="s">
        <v>3934</v>
      </c>
      <c r="B23" s="119">
        <v>-180000</v>
      </c>
      <c r="C23" s="105" t="s">
        <v>3967</v>
      </c>
      <c r="D23" s="105">
        <v>0</v>
      </c>
      <c r="E23" s="105">
        <f t="shared" si="3"/>
        <v>46</v>
      </c>
      <c r="F23" s="105">
        <f t="shared" si="0"/>
        <v>0</v>
      </c>
      <c r="G23" s="105">
        <f t="shared" si="2"/>
        <v>-8280000</v>
      </c>
    </row>
    <row r="24" spans="1:7" x14ac:dyDescent="0.25">
      <c r="A24" s="69" t="s">
        <v>3934</v>
      </c>
      <c r="B24" s="119">
        <v>-69000</v>
      </c>
      <c r="C24" s="105" t="s">
        <v>3967</v>
      </c>
      <c r="D24" s="105">
        <v>6</v>
      </c>
      <c r="E24" s="105">
        <f t="shared" si="3"/>
        <v>46</v>
      </c>
      <c r="F24" s="105">
        <f t="shared" si="0"/>
        <v>0</v>
      </c>
      <c r="G24" s="105">
        <f t="shared" si="2"/>
        <v>-3174000</v>
      </c>
    </row>
    <row r="25" spans="1:7" x14ac:dyDescent="0.25">
      <c r="A25" s="69" t="s">
        <v>3952</v>
      </c>
      <c r="B25" s="119">
        <v>-8600</v>
      </c>
      <c r="C25" s="105" t="s">
        <v>3967</v>
      </c>
      <c r="D25" s="105">
        <v>0</v>
      </c>
      <c r="E25" s="105">
        <f t="shared" si="3"/>
        <v>40</v>
      </c>
      <c r="F25" s="105">
        <f t="shared" si="0"/>
        <v>0</v>
      </c>
      <c r="G25" s="105">
        <f t="shared" si="2"/>
        <v>-344000</v>
      </c>
    </row>
    <row r="26" spans="1:7" x14ac:dyDescent="0.25">
      <c r="A26" s="105" t="s">
        <v>3952</v>
      </c>
      <c r="B26" s="119">
        <v>-40000</v>
      </c>
      <c r="C26" s="105" t="s">
        <v>3967</v>
      </c>
      <c r="D26" s="105">
        <v>0</v>
      </c>
      <c r="E26" s="105">
        <f t="shared" si="3"/>
        <v>40</v>
      </c>
      <c r="F26" s="105">
        <f t="shared" si="0"/>
        <v>0</v>
      </c>
      <c r="G26" s="105">
        <f t="shared" si="2"/>
        <v>-1600000</v>
      </c>
    </row>
    <row r="27" spans="1:7" x14ac:dyDescent="0.25">
      <c r="A27" s="105" t="s">
        <v>3952</v>
      </c>
      <c r="B27" s="119">
        <v>-92500</v>
      </c>
      <c r="C27" s="105" t="s">
        <v>3967</v>
      </c>
      <c r="D27" s="105">
        <v>0</v>
      </c>
      <c r="E27" s="105">
        <f t="shared" si="3"/>
        <v>40</v>
      </c>
      <c r="F27" s="105">
        <f t="shared" si="0"/>
        <v>0</v>
      </c>
      <c r="G27" s="105">
        <f t="shared" si="2"/>
        <v>-3700000</v>
      </c>
    </row>
    <row r="28" spans="1:7" x14ac:dyDescent="0.25">
      <c r="A28" s="105" t="s">
        <v>3952</v>
      </c>
      <c r="B28" s="119">
        <v>-47000</v>
      </c>
      <c r="C28" s="105" t="s">
        <v>3967</v>
      </c>
      <c r="D28" s="105">
        <v>1</v>
      </c>
      <c r="E28" s="105">
        <f t="shared" si="3"/>
        <v>40</v>
      </c>
      <c r="F28" s="105">
        <f t="shared" si="0"/>
        <v>0</v>
      </c>
      <c r="G28" s="105">
        <f t="shared" si="2"/>
        <v>-1880000</v>
      </c>
    </row>
    <row r="29" spans="1:7" x14ac:dyDescent="0.25">
      <c r="A29" s="105" t="s">
        <v>3957</v>
      </c>
      <c r="B29" s="119">
        <v>-77500</v>
      </c>
      <c r="C29" s="105" t="s">
        <v>3967</v>
      </c>
      <c r="D29" s="105">
        <v>0</v>
      </c>
      <c r="E29" s="105">
        <f t="shared" si="3"/>
        <v>39</v>
      </c>
      <c r="F29" s="105">
        <f t="shared" si="0"/>
        <v>0</v>
      </c>
      <c r="G29" s="105">
        <f t="shared" si="2"/>
        <v>-3022500</v>
      </c>
    </row>
    <row r="30" spans="1:7" x14ac:dyDescent="0.25">
      <c r="A30" s="105" t="s">
        <v>3957</v>
      </c>
      <c r="B30" s="119">
        <v>-57000</v>
      </c>
      <c r="C30" s="105" t="s">
        <v>3967</v>
      </c>
      <c r="D30" s="105">
        <v>0</v>
      </c>
      <c r="E30" s="105">
        <f t="shared" si="3"/>
        <v>39</v>
      </c>
      <c r="F30" s="105">
        <f t="shared" si="0"/>
        <v>0</v>
      </c>
      <c r="G30" s="105">
        <f t="shared" si="2"/>
        <v>-2223000</v>
      </c>
    </row>
    <row r="31" spans="1:7" x14ac:dyDescent="0.25">
      <c r="A31" s="105" t="s">
        <v>3957</v>
      </c>
      <c r="B31" s="119">
        <v>-45000</v>
      </c>
      <c r="C31" s="105" t="s">
        <v>3967</v>
      </c>
      <c r="D31" s="105">
        <v>0</v>
      </c>
      <c r="E31" s="105">
        <f t="shared" si="3"/>
        <v>39</v>
      </c>
      <c r="F31" s="105">
        <f t="shared" si="0"/>
        <v>0</v>
      </c>
      <c r="G31" s="105">
        <f t="shared" si="2"/>
        <v>-1755000</v>
      </c>
    </row>
    <row r="32" spans="1:7" x14ac:dyDescent="0.25">
      <c r="A32" s="105" t="s">
        <v>3957</v>
      </c>
      <c r="B32" s="119">
        <v>-30000</v>
      </c>
      <c r="C32" s="105" t="s">
        <v>3967</v>
      </c>
      <c r="D32" s="105">
        <v>3</v>
      </c>
      <c r="E32" s="105">
        <f>E33+D32</f>
        <v>39</v>
      </c>
      <c r="F32" s="105">
        <f t="shared" si="0"/>
        <v>0</v>
      </c>
      <c r="G32" s="105">
        <f t="shared" si="2"/>
        <v>-1170000</v>
      </c>
    </row>
    <row r="33" spans="1:10" x14ac:dyDescent="0.25">
      <c r="A33" s="105" t="s">
        <v>3966</v>
      </c>
      <c r="B33" s="119">
        <v>1000000</v>
      </c>
      <c r="C33" s="105" t="s">
        <v>3930</v>
      </c>
      <c r="D33" s="105">
        <v>1</v>
      </c>
      <c r="E33" s="105">
        <f>E34+D33</f>
        <v>36</v>
      </c>
      <c r="F33" s="105">
        <f t="shared" si="0"/>
        <v>1</v>
      </c>
      <c r="G33" s="105">
        <f t="shared" si="2"/>
        <v>35000000</v>
      </c>
    </row>
    <row r="34" spans="1:10" x14ac:dyDescent="0.25">
      <c r="A34" s="105" t="s">
        <v>3971</v>
      </c>
      <c r="B34" s="119">
        <v>-79700</v>
      </c>
      <c r="C34" s="105" t="s">
        <v>3967</v>
      </c>
      <c r="D34" s="105">
        <v>7</v>
      </c>
      <c r="E34" s="105">
        <f t="shared" ref="E34:E39" si="4">E35+D34</f>
        <v>35</v>
      </c>
      <c r="F34" s="105">
        <f t="shared" si="0"/>
        <v>0</v>
      </c>
      <c r="G34" s="105">
        <f t="shared" si="2"/>
        <v>-2789500</v>
      </c>
    </row>
    <row r="35" spans="1:10" x14ac:dyDescent="0.25">
      <c r="A35" s="105" t="s">
        <v>4104</v>
      </c>
      <c r="B35" s="119">
        <v>-1187</v>
      </c>
      <c r="C35" s="105" t="s">
        <v>3967</v>
      </c>
      <c r="D35" s="105">
        <v>5</v>
      </c>
      <c r="E35" s="105">
        <f t="shared" si="4"/>
        <v>28</v>
      </c>
      <c r="F35" s="105">
        <f t="shared" si="0"/>
        <v>0</v>
      </c>
      <c r="G35" s="105">
        <f t="shared" si="2"/>
        <v>-33236</v>
      </c>
    </row>
    <row r="36" spans="1:10" x14ac:dyDescent="0.25">
      <c r="A36" s="105" t="s">
        <v>4018</v>
      </c>
      <c r="B36" s="119">
        <v>-55262</v>
      </c>
      <c r="C36" s="105" t="s">
        <v>3967</v>
      </c>
      <c r="D36" s="105">
        <v>1</v>
      </c>
      <c r="E36" s="105">
        <f t="shared" si="4"/>
        <v>23</v>
      </c>
      <c r="F36" s="105">
        <f t="shared" si="0"/>
        <v>0</v>
      </c>
      <c r="G36" s="105">
        <f t="shared" si="2"/>
        <v>-1271026</v>
      </c>
    </row>
    <row r="37" spans="1:10" x14ac:dyDescent="0.25">
      <c r="A37" s="105" t="s">
        <v>4020</v>
      </c>
      <c r="B37" s="119">
        <v>-15700</v>
      </c>
      <c r="C37" s="105" t="s">
        <v>3967</v>
      </c>
      <c r="D37" s="105">
        <v>7</v>
      </c>
      <c r="E37" s="105">
        <f t="shared" si="4"/>
        <v>22</v>
      </c>
      <c r="F37" s="105">
        <f t="shared" si="0"/>
        <v>0</v>
      </c>
      <c r="G37" s="105">
        <f t="shared" si="2"/>
        <v>-345400</v>
      </c>
    </row>
    <row r="38" spans="1:10" x14ac:dyDescent="0.25">
      <c r="A38" s="105" t="s">
        <v>4105</v>
      </c>
      <c r="B38" s="119">
        <v>-176000</v>
      </c>
      <c r="C38" s="105" t="s">
        <v>3967</v>
      </c>
      <c r="D38" s="105">
        <v>1</v>
      </c>
      <c r="E38" s="105">
        <f>E39+D38</f>
        <v>15</v>
      </c>
      <c r="F38" s="105">
        <f t="shared" si="0"/>
        <v>0</v>
      </c>
      <c r="G38" s="105">
        <f t="shared" si="2"/>
        <v>-2640000</v>
      </c>
    </row>
    <row r="39" spans="1:10" x14ac:dyDescent="0.25">
      <c r="A39" s="105" t="s">
        <v>4056</v>
      </c>
      <c r="B39" s="119">
        <v>-68600</v>
      </c>
      <c r="C39" s="105" t="s">
        <v>3967</v>
      </c>
      <c r="D39" s="105">
        <v>7</v>
      </c>
      <c r="E39" s="105">
        <f t="shared" si="4"/>
        <v>14</v>
      </c>
      <c r="F39" s="105">
        <f t="shared" si="0"/>
        <v>0</v>
      </c>
      <c r="G39" s="105">
        <f t="shared" si="2"/>
        <v>-960400</v>
      </c>
    </row>
    <row r="40" spans="1:10" x14ac:dyDescent="0.25">
      <c r="A40" s="105" t="s">
        <v>4103</v>
      </c>
      <c r="B40" s="119">
        <v>-3540</v>
      </c>
      <c r="C40" s="105" t="s">
        <v>3967</v>
      </c>
      <c r="D40" s="105">
        <v>4</v>
      </c>
      <c r="E40" s="105">
        <f>E41+D40</f>
        <v>7</v>
      </c>
      <c r="F40" s="105">
        <f t="shared" si="0"/>
        <v>0</v>
      </c>
      <c r="G40" s="105">
        <f t="shared" si="2"/>
        <v>-24780</v>
      </c>
      <c r="J40" t="s">
        <v>25</v>
      </c>
    </row>
    <row r="41" spans="1:10" x14ac:dyDescent="0.25">
      <c r="A41" s="105" t="s">
        <v>4101</v>
      </c>
      <c r="B41" s="119">
        <v>-315101</v>
      </c>
      <c r="C41" s="105" t="s">
        <v>4102</v>
      </c>
      <c r="D41" s="105">
        <v>2</v>
      </c>
      <c r="E41" s="105">
        <f t="shared" ref="E41:E47" si="5">E42+D41</f>
        <v>3</v>
      </c>
      <c r="F41" s="105">
        <f t="shared" si="0"/>
        <v>0</v>
      </c>
      <c r="G41" s="105">
        <f t="shared" si="2"/>
        <v>-945303</v>
      </c>
    </row>
    <row r="42" spans="1:10" x14ac:dyDescent="0.25">
      <c r="A42" s="105" t="s">
        <v>3724</v>
      </c>
      <c r="B42" s="119">
        <v>-416000</v>
      </c>
      <c r="C42" s="105" t="s">
        <v>4111</v>
      </c>
      <c r="D42" s="105">
        <v>1</v>
      </c>
      <c r="E42" s="105">
        <f t="shared" si="5"/>
        <v>1</v>
      </c>
      <c r="F42" s="105">
        <f t="shared" si="0"/>
        <v>0</v>
      </c>
      <c r="G42" s="105">
        <f t="shared" si="2"/>
        <v>-416000</v>
      </c>
    </row>
    <row r="43" spans="1:10" x14ac:dyDescent="0.25">
      <c r="A43" s="105"/>
      <c r="B43" s="105"/>
      <c r="C43" s="105"/>
      <c r="D43" s="105">
        <v>0</v>
      </c>
      <c r="E43" s="105">
        <f t="shared" si="5"/>
        <v>0</v>
      </c>
      <c r="F43" s="105">
        <f t="shared" si="0"/>
        <v>0</v>
      </c>
      <c r="G43" s="105">
        <f t="shared" si="2"/>
        <v>0</v>
      </c>
    </row>
    <row r="44" spans="1:10" x14ac:dyDescent="0.25">
      <c r="A44" s="105"/>
      <c r="B44" s="105"/>
      <c r="C44" s="105"/>
      <c r="D44" s="105">
        <v>0</v>
      </c>
      <c r="E44" s="105">
        <f t="shared" si="5"/>
        <v>0</v>
      </c>
      <c r="F44" s="105">
        <f t="shared" si="0"/>
        <v>0</v>
      </c>
      <c r="G44" s="105">
        <f t="shared" si="2"/>
        <v>0</v>
      </c>
    </row>
    <row r="45" spans="1:10" x14ac:dyDescent="0.25">
      <c r="A45" s="105"/>
      <c r="B45" s="105"/>
      <c r="C45" s="105"/>
      <c r="D45" s="105">
        <v>0</v>
      </c>
      <c r="E45" s="105">
        <f t="shared" si="5"/>
        <v>0</v>
      </c>
      <c r="F45" s="105">
        <f t="shared" si="0"/>
        <v>0</v>
      </c>
      <c r="G45" s="105">
        <f t="shared" si="2"/>
        <v>0</v>
      </c>
    </row>
    <row r="46" spans="1:10" x14ac:dyDescent="0.25">
      <c r="A46" s="105"/>
      <c r="B46" s="105"/>
      <c r="C46" s="105"/>
      <c r="D46" s="105">
        <v>0</v>
      </c>
      <c r="E46" s="105">
        <f t="shared" si="5"/>
        <v>0</v>
      </c>
      <c r="F46" s="105">
        <f t="shared" si="0"/>
        <v>0</v>
      </c>
      <c r="G46" s="105">
        <f t="shared" si="2"/>
        <v>0</v>
      </c>
    </row>
    <row r="47" spans="1:10" x14ac:dyDescent="0.25">
      <c r="A47" s="105"/>
      <c r="B47" s="105"/>
      <c r="C47" s="105"/>
      <c r="D47" s="105"/>
      <c r="E47" s="105">
        <f t="shared" si="5"/>
        <v>0</v>
      </c>
      <c r="F47" s="105">
        <f>IF(B33&gt;0,1,0)</f>
        <v>1</v>
      </c>
      <c r="G47" s="105">
        <f t="shared" si="2"/>
        <v>0</v>
      </c>
    </row>
    <row r="48" spans="1:10" x14ac:dyDescent="0.25">
      <c r="A48" s="105"/>
      <c r="B48" s="101">
        <f>SUM(B2:B47)</f>
        <v>8674</v>
      </c>
      <c r="C48" s="105"/>
      <c r="D48" s="105"/>
      <c r="E48" s="105"/>
      <c r="F48" s="105"/>
      <c r="G48" s="101">
        <f>SUM(G2:G33)</f>
        <v>194845118</v>
      </c>
    </row>
    <row r="49" spans="1:7" x14ac:dyDescent="0.25">
      <c r="A49" s="105"/>
      <c r="B49" s="105" t="s">
        <v>283</v>
      </c>
      <c r="C49" s="105"/>
      <c r="D49" s="105"/>
      <c r="E49" s="105"/>
      <c r="F49" s="105" t="s">
        <v>25</v>
      </c>
      <c r="G49" s="105" t="s">
        <v>284</v>
      </c>
    </row>
    <row r="50" spans="1:7" x14ac:dyDescent="0.25">
      <c r="A50" s="105"/>
      <c r="B50" s="105"/>
      <c r="C50" s="105"/>
      <c r="D50" s="105"/>
      <c r="E50" s="105"/>
      <c r="F50" s="105"/>
      <c r="G50" s="105"/>
    </row>
    <row r="51" spans="1:7" x14ac:dyDescent="0.25">
      <c r="A51" s="105"/>
      <c r="B51" s="105"/>
      <c r="C51" s="105"/>
      <c r="D51" s="105"/>
      <c r="E51" s="105"/>
      <c r="F51" s="105"/>
      <c r="G51" s="119">
        <f>G48/E2</f>
        <v>366939.95856873825</v>
      </c>
    </row>
    <row r="52" spans="1:7" x14ac:dyDescent="0.25">
      <c r="A52" s="105"/>
      <c r="B52" s="105"/>
      <c r="C52" s="105"/>
      <c r="D52" s="105"/>
      <c r="E52" s="105"/>
      <c r="F52" s="105"/>
      <c r="G52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1044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1113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1044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1113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1113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1113</v>
      </c>
      <c r="I45" s="11">
        <v>231000</v>
      </c>
      <c r="J45" s="11" t="s">
        <v>1112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2018-08-21T10:40:53Z</dcterms:modified>
</cp:coreProperties>
</file>