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AR14" i="18" l="1"/>
  <c r="D316" i="20" l="1"/>
  <c r="D2" i="57" l="1"/>
  <c r="C2" i="57"/>
  <c r="B2" i="57"/>
  <c r="D63" i="57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H33" i="57" s="1"/>
  <c r="G2" i="57"/>
  <c r="B32" i="57"/>
  <c r="G58" i="52"/>
  <c r="V39" i="18"/>
  <c r="W39" i="18" s="1"/>
  <c r="S39" i="18"/>
  <c r="G33" i="57" l="1"/>
  <c r="H38" i="57" s="1"/>
  <c r="X39" i="18"/>
  <c r="D315" i="20"/>
  <c r="D314" i="20"/>
  <c r="I2" i="57" l="1"/>
  <c r="I33" i="57" s="1"/>
  <c r="I38" i="57" s="1"/>
  <c r="D32" i="57"/>
  <c r="M37" i="52"/>
  <c r="N35" i="52"/>
  <c r="M35" i="52"/>
  <c r="Z26" i="52"/>
  <c r="AD32" i="52"/>
  <c r="Z32" i="52"/>
  <c r="AE32" i="52"/>
  <c r="R225" i="18" l="1"/>
  <c r="R203" i="18"/>
  <c r="P131" i="18"/>
  <c r="W188" i="18"/>
  <c r="W187" i="18"/>
  <c r="Y195" i="18"/>
  <c r="X199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M42" i="52"/>
  <c r="M41" i="52"/>
  <c r="N32" i="52"/>
  <c r="N31" i="52"/>
  <c r="Q38" i="52"/>
  <c r="AJ206" i="18"/>
  <c r="AL205" i="18"/>
  <c r="AM205" i="18" s="1"/>
  <c r="AL204" i="18"/>
  <c r="AM204" i="18" s="1"/>
  <c r="AL203" i="18"/>
  <c r="AM203" i="18" s="1"/>
  <c r="AL201" i="18"/>
  <c r="AM201" i="18" s="1"/>
  <c r="AL200" i="18"/>
  <c r="AM200" i="18" s="1"/>
  <c r="P24" i="18"/>
  <c r="N24" i="18" s="1"/>
  <c r="P22" i="18"/>
  <c r="N22" i="18" s="1"/>
  <c r="P29" i="18"/>
  <c r="N29" i="18" s="1"/>
  <c r="AL202" i="18" l="1"/>
  <c r="AL199" i="18" s="1"/>
  <c r="AM199" i="18" s="1"/>
  <c r="U191" i="18"/>
  <c r="W186" i="18"/>
  <c r="W185" i="18"/>
  <c r="N30" i="52"/>
  <c r="N29" i="52"/>
  <c r="AD27" i="52"/>
  <c r="Z27" i="52"/>
  <c r="AE27" i="52"/>
  <c r="C24" i="56"/>
  <c r="B24" i="56"/>
  <c r="AM202" i="18" l="1"/>
  <c r="W184" i="18"/>
  <c r="W183" i="18"/>
  <c r="L41" i="52"/>
  <c r="N28" i="52"/>
  <c r="N27" i="52"/>
  <c r="AD26" i="52" l="1"/>
  <c r="AE26" i="52"/>
  <c r="N38" i="18"/>
  <c r="D313" i="20" l="1"/>
  <c r="L36" i="18" l="1"/>
  <c r="L111" i="18"/>
  <c r="W182" i="18" l="1"/>
  <c r="W181" i="18"/>
  <c r="AJ148" i="18"/>
  <c r="N24" i="52"/>
  <c r="N26" i="52"/>
  <c r="N25" i="52"/>
  <c r="R177" i="18" l="1"/>
  <c r="T207" i="18" s="1"/>
  <c r="N64" i="18"/>
  <c r="K110" i="18"/>
  <c r="L105" i="18"/>
  <c r="M111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80" i="18"/>
  <c r="W179" i="18"/>
  <c r="N23" i="52"/>
  <c r="N22" i="52"/>
  <c r="P38" i="52"/>
  <c r="Z24" i="52"/>
  <c r="AD24" i="52"/>
  <c r="AE24" i="52"/>
  <c r="K324" i="20" l="1"/>
  <c r="J324" i="20"/>
  <c r="G323" i="20"/>
  <c r="I324" i="20"/>
  <c r="AL198" i="18"/>
  <c r="W178" i="18"/>
  <c r="W177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76" i="18"/>
  <c r="W175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L103" i="18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74" i="18"/>
  <c r="W173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72" i="18"/>
  <c r="W171" i="18"/>
  <c r="D303" i="20"/>
  <c r="D302" i="20"/>
  <c r="W170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8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67" i="18" l="1"/>
  <c r="W166" i="18"/>
  <c r="L11" i="52"/>
  <c r="L10" i="52"/>
  <c r="AL193" i="18"/>
  <c r="AL192" i="18" s="1"/>
  <c r="AL191" i="18" s="1"/>
  <c r="C2" i="55"/>
  <c r="C32" i="55" s="1"/>
  <c r="B2" i="55"/>
  <c r="D63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65" i="18"/>
  <c r="W164" i="18"/>
  <c r="H38" i="55" l="1"/>
  <c r="I2" i="55"/>
  <c r="I33" i="55" s="1"/>
  <c r="I38" i="55" s="1"/>
  <c r="D32" i="55"/>
  <c r="D293" i="20"/>
  <c r="W163" i="18" l="1"/>
  <c r="N50" i="18"/>
  <c r="M107" i="18" s="1"/>
  <c r="N53" i="18"/>
  <c r="N107" i="18" l="1"/>
  <c r="D292" i="20"/>
  <c r="C8" i="36"/>
  <c r="W162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2" i="18"/>
  <c r="D281" i="20" l="1"/>
  <c r="D280" i="20" l="1"/>
  <c r="AD5" i="52" l="1"/>
  <c r="B38" i="52"/>
  <c r="D279" i="20"/>
  <c r="W137" i="18" l="1"/>
  <c r="W160" i="18"/>
  <c r="D278" i="20"/>
  <c r="W139" i="18" l="1"/>
  <c r="W138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2" i="18"/>
  <c r="S13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66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7" i="52"/>
  <c r="AD3" i="52"/>
  <c r="AD2" i="52"/>
  <c r="AL131" i="18" l="1"/>
  <c r="AM132" i="18"/>
  <c r="H38" i="54"/>
  <c r="I2" i="54"/>
  <c r="I33" i="54" s="1"/>
  <c r="I38" i="54" s="1"/>
  <c r="D32" i="54"/>
  <c r="N118" i="18"/>
  <c r="N119" i="18"/>
  <c r="N120" i="18"/>
  <c r="N121" i="18"/>
  <c r="N122" i="18"/>
  <c r="N123" i="18"/>
  <c r="N124" i="18"/>
  <c r="N125" i="18"/>
  <c r="N117" i="18"/>
  <c r="AM131" i="18" l="1"/>
  <c r="AL130" i="18"/>
  <c r="N4" i="52"/>
  <c r="N3" i="52"/>
  <c r="N2" i="52"/>
  <c r="AL129" i="18" l="1"/>
  <c r="AM130" i="18"/>
  <c r="O35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8" i="18"/>
  <c r="AM124" i="18" l="1"/>
  <c r="AL123" i="18"/>
  <c r="AM123" i="18" l="1"/>
  <c r="AL122" i="18"/>
  <c r="AL121" i="18" l="1"/>
  <c r="AM122" i="18"/>
  <c r="W152" i="18"/>
  <c r="W153" i="18"/>
  <c r="W154" i="18"/>
  <c r="W155" i="18"/>
  <c r="W156" i="18"/>
  <c r="W157" i="18"/>
  <c r="W169" i="18"/>
  <c r="W151" i="18"/>
  <c r="AM121" i="18" l="1"/>
  <c r="AL120" i="18"/>
  <c r="N55" i="18"/>
  <c r="AM120" i="18" l="1"/>
  <c r="AL119" i="18"/>
  <c r="AM119" i="18" l="1"/>
  <c r="AL118" i="18"/>
  <c r="T135" i="18"/>
  <c r="S47" i="18"/>
  <c r="S48" i="18" s="1"/>
  <c r="S49" i="18" s="1"/>
  <c r="R156" i="18"/>
  <c r="R155" i="18"/>
  <c r="R154" i="18"/>
  <c r="D57" i="51"/>
  <c r="AL117" i="18" l="1"/>
  <c r="AM118" i="18"/>
  <c r="S50" i="18"/>
  <c r="S51" i="18" s="1"/>
  <c r="AM117" i="18" l="1"/>
  <c r="AL116" i="18"/>
  <c r="S52" i="18"/>
  <c r="S53" i="18" s="1"/>
  <c r="S54" i="18" s="1"/>
  <c r="S55" i="18" s="1"/>
  <c r="N31" i="18"/>
  <c r="R153" i="18" l="1"/>
  <c r="Q57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2" i="18" s="1"/>
  <c r="R152" i="18" l="1"/>
  <c r="AM94" i="18"/>
  <c r="AL93" i="18"/>
  <c r="AJ210" i="18"/>
  <c r="AJ211" i="18" s="1"/>
  <c r="AL177" i="18"/>
  <c r="AM178" i="18"/>
  <c r="AL92" i="18" l="1"/>
  <c r="AM93" i="18"/>
  <c r="AL176" i="18"/>
  <c r="AM177" i="18"/>
  <c r="S67" i="18"/>
  <c r="S68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9" i="18"/>
  <c r="AL85" i="18" l="1"/>
  <c r="AM86" i="18"/>
  <c r="S70" i="18"/>
  <c r="S71" i="18" s="1"/>
  <c r="S72" i="18" s="1"/>
  <c r="S73" i="18" s="1"/>
  <c r="S74" i="18" s="1"/>
  <c r="S75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6" i="18"/>
  <c r="S77" i="18" s="1"/>
  <c r="S78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9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0" i="18" l="1"/>
  <c r="S81" i="18" s="1"/>
  <c r="AL77" i="18"/>
  <c r="AM78" i="18"/>
  <c r="N60" i="18"/>
  <c r="G307" i="20" l="1"/>
  <c r="K308" i="20"/>
  <c r="J308" i="20"/>
  <c r="I308" i="20"/>
  <c r="S82" i="18"/>
  <c r="S83" i="18" s="1"/>
  <c r="S84" i="18" s="1"/>
  <c r="S85" i="18" s="1"/>
  <c r="S86" i="18" s="1"/>
  <c r="AL76" i="18"/>
  <c r="AM77" i="18"/>
  <c r="G306" i="20" l="1"/>
  <c r="J307" i="20"/>
  <c r="I307" i="20"/>
  <c r="K307" i="20"/>
  <c r="S87" i="18"/>
  <c r="S88" i="18" s="1"/>
  <c r="AL75" i="18"/>
  <c r="AM76" i="18"/>
  <c r="N54" i="18"/>
  <c r="Q127" i="18" s="1"/>
  <c r="R151" i="18" l="1"/>
  <c r="R161" i="18" s="1"/>
  <c r="U207" i="18" s="1"/>
  <c r="M103" i="18"/>
  <c r="S89" i="18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G305" i="20"/>
  <c r="I306" i="20"/>
  <c r="K306" i="20"/>
  <c r="J306" i="20"/>
  <c r="AJ154" i="18"/>
  <c r="AJ155" i="18" s="1"/>
  <c r="N103" i="18"/>
  <c r="N111" i="18" s="1"/>
  <c r="AL74" i="18"/>
  <c r="AM75" i="18"/>
  <c r="G304" i="20" l="1"/>
  <c r="I305" i="20"/>
  <c r="K305" i="20"/>
  <c r="J305" i="20"/>
  <c r="S107" i="18"/>
  <c r="S108" i="18" s="1"/>
  <c r="AL73" i="18"/>
  <c r="AM74" i="18"/>
  <c r="N86" i="18"/>
  <c r="V38" i="18" l="1"/>
  <c r="V37" i="18"/>
  <c r="S109" i="18"/>
  <c r="S110" i="18" s="1"/>
  <c r="V33" i="18"/>
  <c r="W33" i="18" s="1"/>
  <c r="V34" i="18"/>
  <c r="V35" i="18"/>
  <c r="V41" i="18"/>
  <c r="V36" i="18"/>
  <c r="V32" i="18"/>
  <c r="X32" i="18" s="1"/>
  <c r="V55" i="18"/>
  <c r="G303" i="20"/>
  <c r="K304" i="20"/>
  <c r="I304" i="20"/>
  <c r="J304" i="20"/>
  <c r="T194" i="18"/>
  <c r="V197" i="18" s="1"/>
  <c r="V207" i="18"/>
  <c r="V31" i="18"/>
  <c r="W31" i="18" s="1"/>
  <c r="V54" i="18"/>
  <c r="V108" i="18"/>
  <c r="V106" i="18"/>
  <c r="V105" i="18"/>
  <c r="V104" i="18"/>
  <c r="V103" i="18"/>
  <c r="V107" i="18"/>
  <c r="V100" i="18"/>
  <c r="W100" i="18" s="1"/>
  <c r="V102" i="18"/>
  <c r="V101" i="18"/>
  <c r="V99" i="18"/>
  <c r="V98" i="18"/>
  <c r="V30" i="18"/>
  <c r="W30" i="18" s="1"/>
  <c r="V53" i="18"/>
  <c r="V96" i="18"/>
  <c r="V97" i="18"/>
  <c r="V94" i="18"/>
  <c r="V93" i="18"/>
  <c r="V92" i="18"/>
  <c r="V91" i="18"/>
  <c r="V88" i="18"/>
  <c r="V90" i="18"/>
  <c r="V89" i="18"/>
  <c r="V95" i="18"/>
  <c r="V126" i="18"/>
  <c r="V86" i="18"/>
  <c r="W86" i="18" s="1"/>
  <c r="V87" i="18"/>
  <c r="V29" i="18"/>
  <c r="W29" i="18" s="1"/>
  <c r="V52" i="18"/>
  <c r="V84" i="18"/>
  <c r="W84" i="18" s="1"/>
  <c r="V85" i="18"/>
  <c r="V81" i="18"/>
  <c r="W81" i="18" s="1"/>
  <c r="V83" i="18"/>
  <c r="V82" i="18"/>
  <c r="V80" i="18"/>
  <c r="W80" i="18" s="1"/>
  <c r="V78" i="18"/>
  <c r="V79" i="18"/>
  <c r="V28" i="18"/>
  <c r="V27" i="18"/>
  <c r="W27" i="18" s="1"/>
  <c r="V51" i="18"/>
  <c r="V26" i="18"/>
  <c r="X26" i="18" s="1"/>
  <c r="V50" i="18"/>
  <c r="V56" i="18"/>
  <c r="V49" i="18"/>
  <c r="V77" i="18"/>
  <c r="V48" i="18"/>
  <c r="V76" i="18"/>
  <c r="V25" i="18"/>
  <c r="V75" i="18"/>
  <c r="V24" i="18"/>
  <c r="V22" i="18"/>
  <c r="V23" i="18"/>
  <c r="W23" i="18" s="1"/>
  <c r="V74" i="18"/>
  <c r="V73" i="18"/>
  <c r="V72" i="18"/>
  <c r="V21" i="18"/>
  <c r="V71" i="18"/>
  <c r="V70" i="18"/>
  <c r="V68" i="18"/>
  <c r="V69" i="18"/>
  <c r="V65" i="18"/>
  <c r="V20" i="18"/>
  <c r="V66" i="18"/>
  <c r="V67" i="18"/>
  <c r="AL72" i="18"/>
  <c r="AM73" i="18"/>
  <c r="W37" i="18" l="1"/>
  <c r="X37" i="18"/>
  <c r="W38" i="18"/>
  <c r="X38" i="18"/>
  <c r="V109" i="18"/>
  <c r="S111" i="18"/>
  <c r="V110" i="18"/>
  <c r="W110" i="18" s="1"/>
  <c r="X33" i="18"/>
  <c r="W41" i="18"/>
  <c r="X41" i="18"/>
  <c r="W34" i="18"/>
  <c r="X34" i="18"/>
  <c r="W35" i="18"/>
  <c r="X35" i="18"/>
  <c r="X36" i="18"/>
  <c r="W36" i="18"/>
  <c r="W32" i="18"/>
  <c r="X55" i="18"/>
  <c r="W55" i="18"/>
  <c r="S139" i="18"/>
  <c r="G302" i="20"/>
  <c r="K303" i="20"/>
  <c r="I303" i="20"/>
  <c r="J303" i="20"/>
  <c r="X31" i="18"/>
  <c r="W54" i="18"/>
  <c r="X54" i="18"/>
  <c r="X100" i="18"/>
  <c r="X110" i="18"/>
  <c r="W109" i="18"/>
  <c r="X109" i="18"/>
  <c r="W103" i="18"/>
  <c r="X103" i="18"/>
  <c r="W105" i="18"/>
  <c r="X105" i="18"/>
  <c r="X107" i="18"/>
  <c r="W107" i="18"/>
  <c r="W106" i="18"/>
  <c r="X106" i="18"/>
  <c r="W104" i="18"/>
  <c r="X104" i="18"/>
  <c r="W108" i="18"/>
  <c r="X108" i="18"/>
  <c r="W101" i="18"/>
  <c r="X101" i="18"/>
  <c r="W102" i="18"/>
  <c r="X102" i="18"/>
  <c r="X30" i="18"/>
  <c r="W98" i="18"/>
  <c r="X98" i="18"/>
  <c r="W99" i="18"/>
  <c r="X99" i="18"/>
  <c r="W53" i="18"/>
  <c r="X53" i="18"/>
  <c r="W97" i="18"/>
  <c r="X97" i="18"/>
  <c r="W96" i="18"/>
  <c r="X96" i="18"/>
  <c r="X93" i="18"/>
  <c r="W93" i="18"/>
  <c r="W94" i="18"/>
  <c r="X94" i="18"/>
  <c r="W91" i="18"/>
  <c r="X91" i="18"/>
  <c r="W92" i="18"/>
  <c r="X92" i="18"/>
  <c r="W126" i="18"/>
  <c r="X126" i="18"/>
  <c r="W90" i="18"/>
  <c r="X90" i="18"/>
  <c r="X95" i="18"/>
  <c r="W95" i="18"/>
  <c r="W89" i="18"/>
  <c r="X89" i="18"/>
  <c r="W88" i="18"/>
  <c r="X88" i="18"/>
  <c r="X86" i="18"/>
  <c r="W87" i="18"/>
  <c r="X87" i="18"/>
  <c r="X29" i="18"/>
  <c r="W52" i="18"/>
  <c r="X52" i="18"/>
  <c r="X84" i="18"/>
  <c r="W85" i="18"/>
  <c r="X85" i="18"/>
  <c r="X81" i="18"/>
  <c r="W82" i="18"/>
  <c r="X82" i="18"/>
  <c r="W83" i="18"/>
  <c r="X83" i="18"/>
  <c r="X80" i="18"/>
  <c r="W79" i="18"/>
  <c r="X79" i="18"/>
  <c r="W78" i="18"/>
  <c r="X78" i="18"/>
  <c r="W28" i="18"/>
  <c r="X28" i="18"/>
  <c r="X27" i="18"/>
  <c r="W51" i="18"/>
  <c r="X51" i="18"/>
  <c r="W26" i="18"/>
  <c r="W50" i="18"/>
  <c r="X50" i="18"/>
  <c r="W49" i="18"/>
  <c r="X49" i="18"/>
  <c r="W56" i="18"/>
  <c r="X56" i="18"/>
  <c r="S138" i="18"/>
  <c r="N34" i="18" s="1"/>
  <c r="S137" i="18"/>
  <c r="U137" i="18" s="1"/>
  <c r="W77" i="18"/>
  <c r="X77" i="18"/>
  <c r="X48" i="18"/>
  <c r="W48" i="18"/>
  <c r="W70" i="18"/>
  <c r="X70" i="18"/>
  <c r="W72" i="18"/>
  <c r="X72" i="18"/>
  <c r="W75" i="18"/>
  <c r="X75" i="18"/>
  <c r="W67" i="18"/>
  <c r="X67" i="18"/>
  <c r="W73" i="18"/>
  <c r="X73" i="18"/>
  <c r="X23" i="18"/>
  <c r="W25" i="18"/>
  <c r="X25" i="18"/>
  <c r="W20" i="18"/>
  <c r="X20" i="18"/>
  <c r="W69" i="18"/>
  <c r="X69" i="18"/>
  <c r="W22" i="18"/>
  <c r="X22" i="18"/>
  <c r="X76" i="18"/>
  <c r="W76" i="18"/>
  <c r="W66" i="18"/>
  <c r="X66" i="18"/>
  <c r="W65" i="18"/>
  <c r="X65" i="18"/>
  <c r="W71" i="18"/>
  <c r="X71" i="18"/>
  <c r="W68" i="18"/>
  <c r="X68" i="18"/>
  <c r="X21" i="18"/>
  <c r="W21" i="18"/>
  <c r="W74" i="18"/>
  <c r="X74" i="18"/>
  <c r="W24" i="18"/>
  <c r="X24" i="18"/>
  <c r="AL71" i="18"/>
  <c r="AM72" i="18"/>
  <c r="S112" i="18" l="1"/>
  <c r="V111" i="18"/>
  <c r="N63" i="18"/>
  <c r="U139" i="18"/>
  <c r="L21" i="18"/>
  <c r="G301" i="20"/>
  <c r="I302" i="20"/>
  <c r="K302" i="20"/>
  <c r="J302" i="20"/>
  <c r="U138" i="18"/>
  <c r="V138" i="18" s="1"/>
  <c r="AL70" i="18"/>
  <c r="AM71" i="18"/>
  <c r="X111" i="18" l="1"/>
  <c r="W111" i="18"/>
  <c r="S113" i="18"/>
  <c r="V112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2" i="18" l="1"/>
  <c r="X112" i="18"/>
  <c r="S114" i="18"/>
  <c r="V113" i="18"/>
  <c r="G299" i="20"/>
  <c r="I300" i="20"/>
  <c r="K300" i="20"/>
  <c r="J300" i="20"/>
  <c r="AL68" i="18"/>
  <c r="AM69" i="18"/>
  <c r="N2" i="33"/>
  <c r="W113" i="18" l="1"/>
  <c r="X113" i="18"/>
  <c r="S115" i="18"/>
  <c r="V114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4" i="18" l="1"/>
  <c r="W114" i="18"/>
  <c r="S116" i="18"/>
  <c r="V115" i="18"/>
  <c r="G297" i="20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W115" i="18" l="1"/>
  <c r="X115" i="18"/>
  <c r="S117" i="18"/>
  <c r="V116" i="18"/>
  <c r="I297" i="20"/>
  <c r="K297" i="20"/>
  <c r="J297" i="20"/>
  <c r="G296" i="20"/>
  <c r="AL65" i="18"/>
  <c r="AM66" i="18"/>
  <c r="E45" i="14"/>
  <c r="X116" i="18" l="1"/>
  <c r="W116" i="18"/>
  <c r="S118" i="18"/>
  <c r="V117" i="18"/>
  <c r="G295" i="20"/>
  <c r="K296" i="20"/>
  <c r="I296" i="20"/>
  <c r="J296" i="20"/>
  <c r="AL64" i="18"/>
  <c r="AM65" i="18"/>
  <c r="E44" i="14"/>
  <c r="W117" i="18" l="1"/>
  <c r="X117" i="18"/>
  <c r="S119" i="18"/>
  <c r="V118" i="18"/>
  <c r="G294" i="20"/>
  <c r="K295" i="20"/>
  <c r="J295" i="20"/>
  <c r="I295" i="20"/>
  <c r="AM64" i="18"/>
  <c r="AL63" i="18"/>
  <c r="E43" i="14"/>
  <c r="G43" i="14" s="1"/>
  <c r="W118" i="18" l="1"/>
  <c r="X118" i="18"/>
  <c r="V119" i="18"/>
  <c r="S120" i="18"/>
  <c r="G293" i="20"/>
  <c r="I294" i="20"/>
  <c r="J294" i="20"/>
  <c r="K294" i="20"/>
  <c r="AL62" i="18"/>
  <c r="AM63" i="18"/>
  <c r="E42" i="14"/>
  <c r="G42" i="14" s="1"/>
  <c r="S121" i="18" l="1"/>
  <c r="V120" i="18"/>
  <c r="W119" i="18"/>
  <c r="X119" i="18"/>
  <c r="G292" i="20"/>
  <c r="K293" i="20"/>
  <c r="J293" i="20"/>
  <c r="I293" i="20"/>
  <c r="AL61" i="18"/>
  <c r="AM62" i="18"/>
  <c r="E41" i="14"/>
  <c r="G41" i="14" s="1"/>
  <c r="V121" i="18" l="1"/>
  <c r="S122" i="18"/>
  <c r="X120" i="18"/>
  <c r="W120" i="18"/>
  <c r="W121" i="18"/>
  <c r="X121" i="18"/>
  <c r="J292" i="20"/>
  <c r="I292" i="20"/>
  <c r="G291" i="20"/>
  <c r="K292" i="20"/>
  <c r="AM61" i="18"/>
  <c r="AL60" i="18"/>
  <c r="E40" i="14"/>
  <c r="G40" i="14" s="1"/>
  <c r="V122" i="18" l="1"/>
  <c r="S123" i="18"/>
  <c r="W122" i="18"/>
  <c r="X122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7" i="18"/>
  <c r="V13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<sst xmlns="http://schemas.openxmlformats.org/spreadsheetml/2006/main" count="10928" uniqueCount="4828">
  <si>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</si>
  <si>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</si>
  <si>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</si>
  <si>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</si>
  <si>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</si>
  <si>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</si>
  <si>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</si>
  <si>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</si>
  <si>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</si>
  <si>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</si>
  <si>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</si>
  <si>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</si>
  <si>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</si>
  <si>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</si>
  <si>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</si>
  <si>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</si>
  <si>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</si>
  <si>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</si>
  <si>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</si>
  <si>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</si>
  <si>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</si>
  <si>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</si>
  <si>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</si>
  <si>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</si>
  <si>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</si>
  <si>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</si>
  <si>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</si>
  <si>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</si>
  <si>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</si>
  <si>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</si>
  <si>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</si>
  <si>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</si>
  <si>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</si>
  <si>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</si>
  <si>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</si>
  <si>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</si>
  <si>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</si>
  <si>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</si>
  <si>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</si>
  <si>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</si>
  <si>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</si>
  <si>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</si>
  <si>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</si>
  <si>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</si>
  <si>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</si>
  <si>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</si>
  <si>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</si>
  <si>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</si>
  <si>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</si>
  <si>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</si>
  <si>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</si>
  <si>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</si>
  <si>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</si>
  <si>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</si>
  <si>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</si>
  <si>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</si>
  <si>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</si>
  <si>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</si>
  <si>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</si>
  <si>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</si>
  <si>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</si>
  <si>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</si>
  <si>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</si>
  <si>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</si>
  <si>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</si>
  <si>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</si>
  <si>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</si>
  <si>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</si>
  <si>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</si>
  <si>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</si>
  <si>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</si>
  <si>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</si>
  <si>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</si>
  <si>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</si>
  <si>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</si>
  <si>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</si>
  <si>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</si>
  <si>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</si>
  <si>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</si>
  <si>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</si>
  <si>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</si>
  <si>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</si>
  <si>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</si>
  <si>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</si>
  <si>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</si>
  <si>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</si>
  <si>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</si>
  <si>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</si>
  <si>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</si>
  <si>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</si>
  <si>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</si>
  <si>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</si>
  <si>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</si>
  <si>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</si>
  <si>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</si>
  <si>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</si>
  <si>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</si>
  <si>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</si>
  <si>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</si>
  <si>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</si>
  <si>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</si>
  <si>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</si>
  <si>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</si>
  <si>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</si>
  <si>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</si>
  <si>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</si>
  <si>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</si>
  <si>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</si>
  <si>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</si>
  <si>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</si>
  <si>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</si>
  <si>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</si>
  <si>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</si>
  <si>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</si>
  <si>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</si>
  <si>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</si>
  <si>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</si>
  <si>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</si>
  <si>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</si>
  <si>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</si>
  <si>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</si>
  <si>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</si>
  <si>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</si>
  <si>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</si>
  <si>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</si>
  <si>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</si>
  <si>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</si>
  <si>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</si>
  <si>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</si>
  <si>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</si>
  <si>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</si>
  <si>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</si>
  <si>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</si>
  <si>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</si>
  <si>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</si>
  <si>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</si>
  <si>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</si>
  <si>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</si>
  <si>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</si>
  <si>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</si>
  <si>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</si>
  <si>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</si>
  <si>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</si>
  <si>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</si>
  <si>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</si>
  <si>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</si>
  <si>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</si>
  <si>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</si>
  <si>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</si>
  <si>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</si>
  <si>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</si>
  <si>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</si>
  <si>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</si>
  <si>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</si>
  <si>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</si>
  <si>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</si>
  <si>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</si>
  <si>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</si>
  <si>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</si>
  <si>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</si>
  <si>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</si>
  <si>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</si>
  <si>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</si>
  <si>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</si>
  <si>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</si>
  <si>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</si>
  <si>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</si>
  <si>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</si>
  <si>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</si>
  <si>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</si>
  <si>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</si>
  <si>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</si>
  <si>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</si>
  <si>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</si>
  <si>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</si>
  <si>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</si>
  <si>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</si>
  <si>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</si>
  <si>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</si>
  <si>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</si>
  <si>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</si>
  <si>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</si>
  <si>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</si>
  <si>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</si>
  <si>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</si>
  <si>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</si>
  <si>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</si>
  <si>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</si>
  <si>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</si>
  <si>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</si>
  <si>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</si>
  <si>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</si>
  <si>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</si>
  <si>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</si>
  <si>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</si>
  <si>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</si>
  <si>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</si>
  <si>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</si>
  <si>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</si>
  <si>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</si>
  <si>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</si>
  <si>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</si>
  <si>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</si>
  <si>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</si>
  <si>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</si>
  <si>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</si>
  <si>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</si>
  <si>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</si>
  <si>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</si>
  <si>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</si>
  <si>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</si>
  <si>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</si>
  <si>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</si>
  <si>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</si>
  <si>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</si>
  <si>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</si>
  <si>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</si>
  <si>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</si>
  <si>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</si>
  <si>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</si>
  <si>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</si>
  <si>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</si>
  <si>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</si>
  <si>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</si>
  <si>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</si>
  <si>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</si>
  <si>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</si>
  <si>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</si>
  <si>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</si>
  <si>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</si>
  <si>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</si>
  <si>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</si>
  <si>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</si>
  <si>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</si>
  <si>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</si>
  <si>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</si>
  <si>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</si>
  <si>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</si>
  <si>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</si>
  <si>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</si>
  <si>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</si>
  <si>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</si>
  <si>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</si>
  <si>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</si>
  <si>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</si>
  <si>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</si>
  <si>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</si>
  <si>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</si>
  <si>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</si>
  <si>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</si>
  <si>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</si>
  <si>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</si>
  <si>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</si>
  <si>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</si>
  <si>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</si>
  <si>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</si>
  <si>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</si>
  <si>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</si>
  <si>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</si>
  <si>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</si>
  <si>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</si>
  <si>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</si>
  <si>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</si>
  <si>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</si>
  <si>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</si>
  <si>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</si>
  <si>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</si>
  <si>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</si>
  <si>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</si>
  <si>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</si>
  <si>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</si>
  <si>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</si>
  <si>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</si>
  <si>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</si>
  <si>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</si>
  <si>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</si>
  <si>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</si>
  <si>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</si>
  <si>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</si>
  <si>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</si>
  <si>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</si>
  <si>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</si>
  <si>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</si>
  <si>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</si>
  <si>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</si>
  <si>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</si>
  <si>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</si>
  <si>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</si>
  <si>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</si>
  <si>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</si>
  <si>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</si>
  <si>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</si>
  <si>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</si>
  <si>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</si>
  <si>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</si>
  <si>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</si>
  <si>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</si>
  <si>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</si>
  <si>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</si>
  <si>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</si>
  <si>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</si>
  <si>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</si>
  <si>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</si>
  <si>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</si>
  <si>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</si>
  <si>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</si>
  <si>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</si>
  <si>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</si>
  <si>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</si>
  <si>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</si>
  <si>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</si>
  <si>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</si>
  <si>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</si>
  <si>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</si>
  <si>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</si>
  <si>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</si>
  <si>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</si>
  <si>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</si>
  <si>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</si>
  <si>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</si>
  <si>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</si>
  <si>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</si>
  <si>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</si>
  <si>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</si>
  <si>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</si>
  <si>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</si>
  <si>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</si>
  <si>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</si>
  <si>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</si>
  <si>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</si>
  <si>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</si>
  <si>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</si>
  <si>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</si>
  <si>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</si>
  <si>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</si>
  <si>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</si>
  <si>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</si>
  <si>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</si>
  <si>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</si>
  <si>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</si>
  <si>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</si>
  <si>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</si>
  <si>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</si>
  <si>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</si>
  <si>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</si>
  <si>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</si>
  <si>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</si>
  <si>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</si>
  <si>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</si>
  <si>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</si>
  <si>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</si>
  <si>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</si>
  <si>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</si>
  <si>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</si>
  <si>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</si>
  <si>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</si>
  <si>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</si>
  <si>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</si>
  <si>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</si>
  <si>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</si>
  <si>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</si>
  <si>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</si>
  <si>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</si>
  <si>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</si>
  <si>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</si>
  <si>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</si>
  <si>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</si>
  <si>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</si>
  <si>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</si>
  <si>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</si>
  <si>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</si>
  <si>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</si>
  <si>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</si>
  <si>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</si>
  <si>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</si>
  <si>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</si>
  <si>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</si>
  <si>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</si>
  <si>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</si>
  <si>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</si>
  <si>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</si>
  <si>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</si>
  <si>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</si>
  <si>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</si>
  <si>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</si>
  <si>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</si>
  <si>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</si>
  <si>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</si>
  <si>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</si>
  <si>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</si>
  <si>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</si>
  <si>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</si>
  <si>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</si>
  <si>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</si>
  <si>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</si>
  <si>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</si>
  <si>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</si>
  <si>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</si>
  <si>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</si>
  <si>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</si>
  <si>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</si>
  <si>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</si>
  <si>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</si>
  <si>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</si>
  <si>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</si>
  <si>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</si>
  <si>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</si>
  <si>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</si>
  <si>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</si>
  <si>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</si>
  <si>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</si>
  <si>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</si>
  <si>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</si>
  <si>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</si>
  <si>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</si>
  <si>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</si>
  <si>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</si>
  <si>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</si>
  <si>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</si>
  <si>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</si>
  <si>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</si>
  <si>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</si>
  <si>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</si>
  <si>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</si>
  <si>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</si>
  <si>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</si>
  <si>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</si>
  <si>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</si>
  <si>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</si>
  <si>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</si>
  <si>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</si>
  <si>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</si>
  <si>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</si>
  <si>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</si>
  <si>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</si>
  <si>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</si>
  <si>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</si>
  <si>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</si>
  <si>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</si>
  <si>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</si>
  <si>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</si>
  <si>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</si>
  <si>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</si>
  <si>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</si>
  <si>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</si>
  <si>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</si>
  <si>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</si>
  <si>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</si>
  <si>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</si>
  <si>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</si>
  <si>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</si>
  <si>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</si>
  <si>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</si>
  <si>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</si>
  <si>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</si>
  <si>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</si>
  <si>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</si>
  <si>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</si>
  <si>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</si>
  <si>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</si>
  <si>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</si>
  <si>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</si>
  <si>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</si>
  <si>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</si>
  <si>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</si>
  <si>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</si>
  <si>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</si>
  <si>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</si>
  <si>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</si>
  <si>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</si>
  <si>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</si>
  <si>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</si>
  <si>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</si>
  <si>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</si>
  <si>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</si>
  <si>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</si>
  <si>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</si>
  <si>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</si>
  <si>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</si>
  <si>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</si>
  <si>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</si>
  <si>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</si>
  <si>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</si>
  <si>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</si>
  <si>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</si>
  <si>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</si>
  <si>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</si>
  <si>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</si>
  <si>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</si>
  <si>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</si>
  <si>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</si>
  <si>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</si>
  <si>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</si>
  <si>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</si>
  <si>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</si>
  <si>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</si>
  <si>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</si>
  <si>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</si>
  <si>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</si>
  <si>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</si>
  <si>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</si>
  <si>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</si>
  <si>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</si>
  <si>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</si>
  <si>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</si>
  <si>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</si>
  <si>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</si>
  <si>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</si>
  <si>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</si>
  <si>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</si>
  <si>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</si>
  <si>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</si>
  <si>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</si>
  <si>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</si>
  <si>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</si>
  <si>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</si>
  <si>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</si>
  <si>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</si>
  <si>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</si>
  <si>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</si>
  <si>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</si>
  <si>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</si>
  <si>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</si>
  <si>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</si>
  <si>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</si>
  <si>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</si>
  <si>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</si>
  <si>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</si>
  <si>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</si>
  <si>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</si>
  <si>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</si>
  <si>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</si>
  <si>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</si>
  <si>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</si>
  <si>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</si>
  <si>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</si>
  <si>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</si>
  <si>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</si>
  <si>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</si>
  <si>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</si>
  <si>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</si>
  <si>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</si>
  <si>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</si>
  <si>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</si>
  <si>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</si>
  <si>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</si>
  <si>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</si>
  <si>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</si>
  <si>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</si>
  <si>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</si>
  <si>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</si>
  <si>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</si>
  <si>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</si>
  <si>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</si>
  <si>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</si>
  <si>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</si>
  <si>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</si>
  <si>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</si>
  <si>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</si>
  <si>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</si>
  <si>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</si>
  <si>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</si>
  <si>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</si>
  <si>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</si>
  <si>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</si>
  <si>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</si>
  <si>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</si>
  <si>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</si>
  <si>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</si>
  <si>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</si>
  <si>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</si>
  <si>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</si>
  <si>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</si>
  <si>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</si>
  <si>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</si>
  <si>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</si>
  <si>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</si>
  <si>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</si>
  <si>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</si>
  <si>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</si>
  <si>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</si>
  <si>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</si>
  <si>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</si>
  <si>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</si>
  <si>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</si>
  <si>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</si>
  <si>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</si>
  <si>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</si>
  <si>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</si>
  <si>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</si>
  <si>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</si>
  <si>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</si>
  <si>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</si>
  <si>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</si>
  <si>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</si>
  <si>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</si>
  <si>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</si>
  <si>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</si>
  <si>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</si>
  <si>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</si>
  <si>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</si>
  <si>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</si>
  <si>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</si>
  <si>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</si>
  <si>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</si>
  <si>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</si>
  <si>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</si>
  <si>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</si>
  <si>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</si>
  <si>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</si>
  <si>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</si>
  <si>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</si>
  <si>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</si>
  <si>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</si>
  <si>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</si>
  <si>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</si>
  <si>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</si>
  <si>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</si>
  <si>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</si>
  <si>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</si>
  <si>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</si>
  <si>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</si>
  <si>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</si>
  <si>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</si>
  <si>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</si>
  <si>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</si>
  <si>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</si>
  <si>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</si>
  <si>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</si>
  <si>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</si>
  <si>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</si>
  <si>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</si>
  <si>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</si>
  <si>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</si>
  <si>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</si>
  <si>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</si>
  <si>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</si>
  <si>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</si>
  <si>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</si>
  <si>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</si>
  <si>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</si>
  <si>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</si>
  <si>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</si>
  <si>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</si>
  <si>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</si>
  <si>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</si>
  <si>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</si>
  <si>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</si>
  <si>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</si>
  <si>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</si>
  <si>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</si>
  <si>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</si>
  <si>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</si>
  <si>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</si>
  <si>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</si>
  <si>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</si>
  <si>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</si>
  <si>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</si>
  <si>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</si>
  <si>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</si>
  <si>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</si>
  <si>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</si>
  <si>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</si>
  <si>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</si>
  <si>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</si>
  <si>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</si>
  <si>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</si>
  <si>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</si>
  <si>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</si>
  <si>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</si>
  <si>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</si>
  <si>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</si>
  <si>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</si>
  <si>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</si>
  <si>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</si>
  <si>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</si>
  <si>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</si>
  <si>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</si>
  <si>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</si>
  <si>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</si>
  <si>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</si>
  <si>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</si>
  <si>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</si>
  <si>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</si>
  <si>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</si>
  <si>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</si>
  <si>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</si>
  <si>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</si>
  <si>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</si>
  <si>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</si>
  <si>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</si>
  <si>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</si>
  <si>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</si>
  <si>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</si>
  <si>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</si>
  <si>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</si>
  <si>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</si>
  <si>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</si>
  <si>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</si>
  <si>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</si>
  <si>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</si>
  <si>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</si>
  <si>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</si>
  <si>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</si>
  <si>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</si>
  <si>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</si>
  <si>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</si>
  <si>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</si>
  <si>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</si>
  <si>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</si>
  <si>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</si>
  <si>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</si>
  <si>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</si>
  <si>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</si>
  <si>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</si>
  <si>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</si>
  <si>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</si>
  <si>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</si>
  <si>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</si>
  <si>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</si>
  <si>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</si>
  <si>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</si>
  <si>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</si>
  <si>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</si>
  <si>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</si>
  <si>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</si>
  <si>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</si>
  <si>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</si>
  <si>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</si>
  <si>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</si>
  <si>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</si>
  <si>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</si>
  <si>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</si>
  <si>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</si>
  <si>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</si>
  <si>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</si>
  <si>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</si>
  <si>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</si>
  <si>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</si>
  <si>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</si>
  <si>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</si>
  <si>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</si>
  <si>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</si>
  <si>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</si>
  <si>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</si>
  <si>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</si>
  <si>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</si>
  <si>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</si>
  <si>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</si>
  <si>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</si>
  <si>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</si>
  <si>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</si>
  <si>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</si>
  <si>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</si>
  <si>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</si>
  <si>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</si>
  <si>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</si>
  <si>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</si>
  <si>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</si>
  <si>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</si>
  <si>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</si>
  <si>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</si>
  <si>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</si>
  <si>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</si>
  <si>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</si>
  <si>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</si>
  <si>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</si>
  <si>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</si>
  <si>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</si>
  <si>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</si>
  <si>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</si>
  <si>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</si>
  <si>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</si>
  <si>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</si>
  <si>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</si>
  <si>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</si>
  <si>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</si>
  <si>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</si>
  <si>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</si>
  <si>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</si>
  <si>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</si>
  <si>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</si>
  <si>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</si>
  <si>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</si>
  <si>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</si>
  <si>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</si>
  <si>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</si>
  <si>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</si>
  <si>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</si>
  <si>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</si>
  <si>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</si>
  <si>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</si>
  <si>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</si>
  <si>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</si>
  <si>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</si>
  <si>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</si>
  <si>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</si>
  <si>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</si>
  <si>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</si>
  <si>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</si>
  <si>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</si>
  <si>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</si>
  <si>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</si>
  <si>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</si>
  <si>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</si>
  <si>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</si>
  <si>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</si>
  <si>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</si>
  <si>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</si>
  <si>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</si>
  <si>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</si>
  <si>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</si>
  <si>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</si>
  <si>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</si>
  <si>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</si>
  <si>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</si>
  <si>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</si>
  <si>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</si>
  <si>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</si>
  <si>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</si>
  <si>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</si>
  <si>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</si>
  <si>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</si>
  <si>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</si>
  <si>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</si>
  <si>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</si>
  <si>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</si>
  <si>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</si>
  <si>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</si>
  <si>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</si>
  <si>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</si>
  <si>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</si>
  <si>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</si>
  <si>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</si>
  <si>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</si>
  <si>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</si>
  <si>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</si>
  <si>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</si>
  <si>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</si>
  <si>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</si>
  <si>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</si>
  <si>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</si>
  <si>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</si>
  <si>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</si>
  <si>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</si>
  <si>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</si>
  <si>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</si>
  <si>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</si>
  <si>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</si>
  <si>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</si>
  <si>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</si>
  <si>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</si>
  <si>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</si>
  <si>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</si>
  <si>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</si>
  <si>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</si>
  <si>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</si>
  <si>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</si>
  <si>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</si>
  <si>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</si>
  <si>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</si>
  <si>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</si>
  <si>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</si>
  <si>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</si>
  <si>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</si>
  <si>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</si>
  <si>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</si>
  <si>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</si>
  <si>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</si>
  <si>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</si>
  <si>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</si>
  <si>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</si>
  <si>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</si>
  <si>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</si>
  <si>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</si>
  <si>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</si>
  <si>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</si>
  <si>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</si>
  <si>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</si>
  <si>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</si>
  <si>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</si>
  <si>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</si>
  <si>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</si>
  <si>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</si>
  <si>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</si>
  <si>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</si>
  <si>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</si>
  <si>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</si>
  <si>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</si>
  <si>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</si>
  <si>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</si>
  <si>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</si>
  <si>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</si>
  <si>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</si>
  <si>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</si>
  <si>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</si>
  <si>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</si>
  <si>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</si>
  <si>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</si>
  <si>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</si>
  <si>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</si>
  <si>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</si>
  <si>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</si>
  <si>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</si>
  <si>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</si>
  <si>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</si>
  <si>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</si>
  <si>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</si>
  <si>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</si>
  <si>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</si>
  <si>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</si>
  <si>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</si>
  <si>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</si>
  <si>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</si>
  <si>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</si>
  <si>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</si>
  <si>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</si>
  <si>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</si>
  <si>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</si>
  <si>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</si>
  <si>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</si>
  <si>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</si>
  <si>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</si>
  <si>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</si>
  <si>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</si>
  <si>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</si>
  <si>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</si>
  <si>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</si>
  <si>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</si>
  <si>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</si>
  <si>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</si>
  <si>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</si>
  <si>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</si>
  <si>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</si>
  <si>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</si>
  <si>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</si>
  <si>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</si>
  <si>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</si>
  <si>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</si>
  <si>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</si>
  <si>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</si>
  <si>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</si>
  <si>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</si>
  <si>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</si>
  <si>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</si>
  <si>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</si>
  <si>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</si>
  <si>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</si>
  <si>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</si>
  <si>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</si>
  <si>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</si>
  <si>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</si>
  <si>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</si>
  <si>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</si>
  <si>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</si>
  <si>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</si>
  <si>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</si>
  <si>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</si>
  <si>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</si>
  <si>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</si>
  <si>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</si>
  <si>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</si>
  <si>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</si>
  <si>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</si>
  <si>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</si>
  <si>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</si>
  <si>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</si>
  <si>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</si>
  <si>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</si>
  <si>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</si>
  <si>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</si>
  <si>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</si>
  <si>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</si>
  <si>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</si>
  <si>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</si>
  <si>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</si>
  <si>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</si>
  <si>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</si>
  <si>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</si>
  <si>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</si>
  <si>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</si>
  <si>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</si>
  <si>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</si>
  <si>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</si>
  <si>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</si>
  <si>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</si>
  <si>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</si>
  <si>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</si>
  <si>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</si>
  <si>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</si>
  <si>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</si>
  <si>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</si>
  <si>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</si>
  <si>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</si>
  <si>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</si>
  <si>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</si>
  <si>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</si>
  <si>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</si>
  <si>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</si>
  <si>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</si>
  <si>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</si>
  <si>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</si>
  <si>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</si>
  <si>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</si>
  <si>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</si>
  <si>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</si>
  <si>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</si>
  <si>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</si>
  <si>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</si>
  <si>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</si>
  <si>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</si>
  <si>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</si>
  <si>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</si>
  <si>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</si>
  <si>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</si>
  <si>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</si>
  <si>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</si>
  <si>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</si>
  <si>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</si>
  <si>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</si>
  <si>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</si>
  <si>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</si>
  <si>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</si>
  <si>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</si>
  <si>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</si>
  <si>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</si>
  <si>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</si>
  <si>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</si>
  <si>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</si>
  <si>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</si>
  <si>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</si>
  <si>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</si>
  <si>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</si>
  <si>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</si>
  <si>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</si>
  <si>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</si>
  <si>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</si>
  <si>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</si>
  <si>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</si>
  <si>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</si>
  <si>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</si>
  <si>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</si>
  <si>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</si>
  <si>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</si>
  <si>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</si>
  <si>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</si>
  <si>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</si>
  <si>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</si>
  <si>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</si>
  <si>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</si>
  <si>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</si>
  <si>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</si>
  <si>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</si>
  <si>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</si>
  <si>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</si>
  <si>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</si>
  <si>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</si>
  <si>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</si>
  <si>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</si>
  <si>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</si>
  <si>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</si>
  <si>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</si>
  <si>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</si>
  <si>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</si>
  <si>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</si>
  <si>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</si>
  <si>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</si>
  <si>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</si>
  <si>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</si>
  <si>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</si>
  <si>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</si>
  <si>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</si>
  <si>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</si>
  <si>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</si>
  <si>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</si>
  <si>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</si>
  <si>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</si>
  <si>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</si>
  <si>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</si>
  <si>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</si>
  <si>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</si>
  <si>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</si>
  <si>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</si>
  <si>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</si>
  <si>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</si>
  <si>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</si>
  <si>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</si>
  <si>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</si>
  <si>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</si>
  <si>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</si>
  <si>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</si>
  <si>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</si>
  <si>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</si>
  <si>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</si>
  <si>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</si>
  <si>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</si>
  <si>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</si>
  <si>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</si>
  <si>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</si>
  <si>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</si>
  <si>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</si>
  <si>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</si>
  <si>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</si>
  <si>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</si>
  <si>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</si>
  <si>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</si>
  <si>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</si>
  <si>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</si>
  <si>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</si>
  <si>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</si>
  <si>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</si>
  <si>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</si>
  <si>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</si>
  <si>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</si>
  <si>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</si>
  <si>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</si>
  <si>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</si>
  <si>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</si>
  <si>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</si>
  <si>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</si>
  <si>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</si>
  <si>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</si>
  <si>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</si>
  <si>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</si>
  <si>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</si>
  <si>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</si>
  <si>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</si>
  <si>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</si>
  <si>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</si>
  <si>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</si>
  <si>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</si>
  <si>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</si>
  <si>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</si>
  <si>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</si>
  <si>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</si>
  <si>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</si>
  <si>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</si>
  <si>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</si>
  <si>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</si>
  <si>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</si>
  <si>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</si>
  <si>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</si>
  <si>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</si>
  <si>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</si>
  <si>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</si>
  <si>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</si>
  <si>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</si>
  <si>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</si>
  <si>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</si>
  <si>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</si>
  <si>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</si>
  <si>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</si>
  <si>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</si>
  <si>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</si>
  <si>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</si>
  <si>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</si>
  <si>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</si>
  <si>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</si>
  <si>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</si>
  <si>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</si>
  <si>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</si>
  <si>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</si>
  <si>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</si>
  <si>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</si>
  <si>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</si>
  <si>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</si>
  <si>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</si>
  <si>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</si>
  <si>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</si>
  <si>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</si>
  <si>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</si>
  <si>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</si>
  <si>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</si>
  <si>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</si>
  <si>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</si>
  <si>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</si>
  <si>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</si>
  <si>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</si>
  <si>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</si>
  <si>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</si>
  <si>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</si>
  <si>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</si>
  <si>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</si>
  <si>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</si>
  <si>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</si>
  <si>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</si>
  <si>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</si>
  <si>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</si>
  <si>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</si>
  <si>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</si>
  <si>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</si>
  <si>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</si>
  <si>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</si>
  <si>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</si>
  <si>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</si>
  <si>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</si>
  <si>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</si>
  <si>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</si>
  <si>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</si>
  <si>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</si>
  <si>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</si>
  <si>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</si>
  <si>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</si>
  <si>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</si>
  <si>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</si>
  <si>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</si>
  <si>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</si>
  <si>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</si>
  <si>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</si>
  <si>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</si>
  <si>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</si>
  <si>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</si>
  <si>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</si>
  <si>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</si>
  <si>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</si>
  <si>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</si>
  <si>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</si>
  <si>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</si>
  <si>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</si>
  <si>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</si>
  <si>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</si>
  <si>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</si>
  <si>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</si>
  <si>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</si>
  <si>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</si>
  <si>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</si>
  <si>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</si>
  <si>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</si>
  <si>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</si>
  <si>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</si>
  <si>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</si>
  <si>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</si>
  <si>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</si>
  <si>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</si>
  <si>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</si>
  <si>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</si>
  <si>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</si>
  <si>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</si>
  <si>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</si>
  <si>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</si>
  <si>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</si>
  <si>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</si>
  <si>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</si>
  <si>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</si>
  <si>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</si>
  <si>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</si>
  <si>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</si>
  <si>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</si>
  <si>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</si>
  <si>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</si>
  <si>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</si>
  <si>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</si>
  <si>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</si>
  <si>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</si>
  <si>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</si>
  <si>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</si>
  <si>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</si>
  <si>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</si>
  <si>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</si>
  <si>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</si>
  <si>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</si>
  <si>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</si>
  <si>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</si>
  <si>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</si>
  <si>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</si>
  <si>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</si>
  <si>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</si>
  <si>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</si>
  <si>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</si>
  <si>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</si>
  <si>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</si>
  <si>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</si>
  <si>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</si>
  <si>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</si>
  <si>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</si>
  <si>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</si>
  <si>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</si>
  <si>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</si>
  <si>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</si>
  <si>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</si>
  <si>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</si>
  <si>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</si>
  <si>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</si>
  <si>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</si>
  <si>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</si>
  <si>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</si>
  <si>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</si>
  <si>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</si>
  <si>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</si>
  <si>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</si>
  <si>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</si>
  <si>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</si>
  <si>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</si>
  <si>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</si>
  <si>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</si>
  <si>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</si>
  <si>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</si>
  <si>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</si>
  <si>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</si>
  <si>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</si>
  <si>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</si>
  <si>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</si>
  <si>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</si>
  <si>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</si>
  <si>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</si>
  <si>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</si>
  <si>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</si>
  <si>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</si>
  <si>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</si>
  <si>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</si>
  <si>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</si>
  <si>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</si>
  <si>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</si>
  <si>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</si>
  <si>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</si>
  <si>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</si>
  <si>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</si>
  <si>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</si>
  <si>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</si>
  <si>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</si>
  <si>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</si>
  <si>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</si>
  <si>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</si>
  <si>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</si>
  <si>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</si>
  <si>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</si>
  <si>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</si>
  <si>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</si>
  <si>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</si>
  <si>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</si>
  <si>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</si>
  <si>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</si>
  <si>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</si>
  <si>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</si>
  <si>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</si>
  <si>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</si>
  <si>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</si>
  <si>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</si>
  <si>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</si>
  <si>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</si>
  <si>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</si>
  <si>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</si>
  <si>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</si>
  <si>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</si>
  <si>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</si>
  <si>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</si>
  <si>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</si>
  <si>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</si>
  <si>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</si>
  <si>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</si>
  <si>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</si>
  <si>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</si>
  <si>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</si>
  <si>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</si>
  <si>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</si>
  <si>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</si>
  <si>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</si>
  <si>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</si>
  <si>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</si>
  <si>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</si>
  <si>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</si>
  <si>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</si>
  <si>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</si>
  <si>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</si>
  <si>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</si>
  <si>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</si>
  <si>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</si>
  <si>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</si>
  <si>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</si>
  <si>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</si>
  <si>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</si>
  <si>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</si>
  <si>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</si>
  <si>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</si>
  <si>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</si>
  <si>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</si>
  <si>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</si>
  <si>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</si>
  <si>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</si>
  <si>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</si>
  <si>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</si>
  <si>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</si>
  <si>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</si>
  <si>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</si>
  <si>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</si>
  <si>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</si>
  <si>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</si>
  <si>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</si>
  <si>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</si>
  <si>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</si>
  <si>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</si>
  <si>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</si>
  <si>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</si>
  <si>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</si>
  <si>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</si>
  <si>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</si>
  <si>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</si>
  <si>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</si>
  <si>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</si>
  <si>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</si>
  <si>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</si>
  <si>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</si>
  <si>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</si>
  <si>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</si>
  <si>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</si>
  <si>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</si>
  <si>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</si>
  <si>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</si>
  <si>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</si>
  <si>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</si>
  <si>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</si>
  <si>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</si>
  <si>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</si>
  <si>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</si>
  <si>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</si>
  <si>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</si>
  <si>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</si>
  <si>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</si>
  <si>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</si>
  <si>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</si>
  <si>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</si>
  <si>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</si>
  <si>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</si>
  <si>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</si>
  <si>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</si>
  <si>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</si>
  <si>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</si>
  <si>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</si>
  <si>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</si>
  <si>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</si>
  <si>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</si>
  <si>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</si>
  <si>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</si>
  <si>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</si>
  <si>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</si>
  <si>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</si>
  <si>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</si>
  <si>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</si>
  <si>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</si>
  <si>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</si>
  <si>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</si>
  <si>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</si>
  <si>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</si>
  <si>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</si>
  <si>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</si>
  <si>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</si>
  <si>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</si>
  <si>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</si>
  <si>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</si>
  <si>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</si>
  <si>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</si>
  <si>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</si>
  <si>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</si>
  <si>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</si>
  <si>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</si>
  <si>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</si>
  <si>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</si>
  <si>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</si>
  <si>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</si>
  <si>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</si>
  <si>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</si>
  <si>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</si>
  <si>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</si>
  <si>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</si>
  <si>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</si>
  <si>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</si>
  <si>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</si>
  <si>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</si>
  <si>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</si>
  <si>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</si>
  <si>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</si>
  <si>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</si>
  <si>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</si>
  <si>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</si>
  <si>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</si>
  <si>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</si>
  <si>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</si>
  <si>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</si>
  <si>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</si>
  <si>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</si>
  <si>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</si>
  <si>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</si>
  <si>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</si>
  <si>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</si>
  <si>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</si>
  <si>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</si>
  <si>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</si>
  <si>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</si>
  <si>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</si>
  <si>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</si>
  <si>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</si>
  <si>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</si>
  <si>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</si>
  <si>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</si>
  <si>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</si>
  <si>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</si>
  <si>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</si>
  <si>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</si>
  <si>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</si>
  <si>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</si>
  <si>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</si>
  <si>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</si>
  <si>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</si>
  <si>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</si>
  <si>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</si>
  <si>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</si>
  <si>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</si>
  <si>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</si>
  <si>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</si>
  <si>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</si>
  <si>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</si>
  <si>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</si>
  <si>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</si>
  <si>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</si>
  <si>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</si>
  <si>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</si>
  <si>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</si>
  <si>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</si>
  <si>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</si>
  <si>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</si>
  <si>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</si>
  <si>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</si>
  <si>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</si>
  <si>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</si>
  <si>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</si>
  <si>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</si>
  <si>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</si>
  <si>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</si>
  <si>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</si>
  <si>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</si>
  <si>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</si>
  <si>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</si>
  <si>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</si>
  <si>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</si>
  <si>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</si>
  <si>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</si>
  <si>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</si>
  <si>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</si>
  <si>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</si>
  <si>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</si>
  <si>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</si>
  <si>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</si>
  <si>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</si>
  <si>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</si>
  <si>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</si>
  <si>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</si>
  <si>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</si>
  <si>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</si>
  <si>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</si>
  <si>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</si>
  <si>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</si>
  <si>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</si>
  <si>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</si>
  <si>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</si>
  <si>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</si>
  <si>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</si>
  <si>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</si>
  <si>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</si>
  <si>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</si>
  <si>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</si>
  <si>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</si>
  <si>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</si>
  <si>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</si>
  <si>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</si>
  <si>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</si>
  <si>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</si>
  <si>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</si>
  <si>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</si>
  <si>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</si>
  <si>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</si>
  <si>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</si>
  <si>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</si>
  <si>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</si>
  <si>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</si>
  <si>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</si>
  <si>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</si>
  <si>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</si>
  <si>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</si>
  <si>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</si>
  <si>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</si>
  <si>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</si>
  <si>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</si>
  <si>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</si>
  <si>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</si>
  <si>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</si>
  <si>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</si>
  <si>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</si>
  <si>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</si>
  <si>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</si>
  <si>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</si>
  <si>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</si>
  <si>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</si>
  <si>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</si>
  <si>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</si>
  <si>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</si>
  <si>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</si>
  <si>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</si>
  <si>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</si>
  <si>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</si>
  <si>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</si>
  <si>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</si>
  <si>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</si>
  <si>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</si>
  <si>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</si>
  <si>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</si>
  <si>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</si>
  <si>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</si>
  <si>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</si>
  <si>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</si>
  <si>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</si>
  <si>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</si>
  <si>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</si>
  <si>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</si>
  <si>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</si>
  <si>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</si>
  <si>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</si>
  <si>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</si>
  <si>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</si>
  <si>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</si>
  <si>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</si>
  <si>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</si>
  <si>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</si>
  <si>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</si>
  <si>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</si>
  <si>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</si>
  <si>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</si>
  <si>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</si>
  <si>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</si>
  <si>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</si>
  <si>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</si>
  <si>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</si>
  <si>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</si>
  <si>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</si>
  <si>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</si>
  <si>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</si>
  <si>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</si>
  <si>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</si>
  <si>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</si>
  <si>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</si>
  <si>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</si>
  <si>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</si>
  <si>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</si>
  <si>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</si>
  <si>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</si>
  <si>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</si>
  <si>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</si>
  <si>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</si>
  <si>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</si>
  <si>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</si>
  <si>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</si>
  <si>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</si>
  <si>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</si>
  <si>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</si>
  <si>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</si>
  <si>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</si>
  <si>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</si>
  <si>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</si>
  <si>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</si>
  <si>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</si>
  <si>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</si>
  <si>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</si>
  <si>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</si>
  <si>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</si>
  <si>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</si>
  <si>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</si>
  <si>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</si>
  <si>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</si>
  <si>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</si>
  <si>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</si>
  <si>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</si>
  <si>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</si>
  <si>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</si>
  <si>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</si>
  <si>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</si>
  <si>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</si>
  <si>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</si>
  <si>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</si>
  <si>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</si>
  <si>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</si>
  <si>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</si>
  <si>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</si>
  <si>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</si>
  <si>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</si>
  <si>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</si>
  <si>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</si>
  <si>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</si>
  <si>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</si>
  <si>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</si>
  <si>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</si>
  <si>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</si>
  <si>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</si>
  <si>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</si>
  <si>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</si>
  <si>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</si>
  <si>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</si>
  <si>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</si>
  <si>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</si>
  <si>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</si>
  <si>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</si>
  <si>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</si>
  <si>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</si>
  <si>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</si>
  <si>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</si>
  <si>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</si>
  <si>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</si>
  <si>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</si>
  <si>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</si>
  <si>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</si>
  <si>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</si>
  <si>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</si>
  <si>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</si>
  <si>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</si>
  <si>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</si>
  <si>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</si>
  <si>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</si>
  <si>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</si>
  <si>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</si>
  <si>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</si>
  <si>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</si>
  <si>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</si>
  <si>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</si>
  <si>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</si>
  <si>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</si>
  <si>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</si>
  <si>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</si>
  <si>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</si>
  <si>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</si>
  <si>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</si>
  <si>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</si>
  <si>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</si>
  <si>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</si>
  <si>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</si>
  <si>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</si>
  <si>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</si>
  <si>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</si>
  <si>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</si>
  <si>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</si>
  <si>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</si>
  <si>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</si>
  <si>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</si>
  <si>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</si>
  <si>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</si>
  <si>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</si>
  <si>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</si>
  <si>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</si>
  <si>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</si>
  <si>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</si>
  <si>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</si>
  <si>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</si>
  <si>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</si>
  <si>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</si>
  <si>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</si>
  <si>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</si>
  <si>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</si>
  <si>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</si>
  <si>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</si>
  <si>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</si>
  <si>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</si>
  <si>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</si>
  <si>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</si>
  <si>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</si>
  <si>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</si>
  <si>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</si>
  <si>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</si>
  <si>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</si>
  <si>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</si>
  <si>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</si>
  <si>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</si>
  <si>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</si>
  <si>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</si>
  <si>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</si>
  <si>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</si>
  <si>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</si>
  <si>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</si>
  <si>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</si>
  <si>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</si>
  <si>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</si>
  <si>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</si>
  <si>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</si>
  <si>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</si>
  <si>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</si>
  <si>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</si>
  <si>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</si>
  <si>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</si>
  <si>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</si>
  <si>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</si>
  <si>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</si>
  <si>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</si>
  <si>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</si>
  <si>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</si>
  <si>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</si>
  <si>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</si>
  <si>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</si>
  <si>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</si>
  <si>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</si>
  <si>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</si>
  <si>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</si>
  <si>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</si>
  <si>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</si>
  <si>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</si>
  <si>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</si>
  <si>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</si>
  <si>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</si>
  <si>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</si>
  <si>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</si>
  <si>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</si>
  <si>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</si>
  <si>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</si>
  <si>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</si>
  <si>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</si>
  <si>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</si>
  <si>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</si>
  <si>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</si>
  <si>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</si>
  <si>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</si>
  <si>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</si>
  <si>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</si>
  <si>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</si>
  <si>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</si>
  <si>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</si>
  <si>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</si>
  <si>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</si>
  <si>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</si>
  <si>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</si>
  <si>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</si>
  <si>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</si>
  <si>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</si>
  <si>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</si>
  <si>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</si>
  <si>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</si>
  <si>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</si>
  <si>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</si>
  <si>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</si>
  <si>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</si>
  <si>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</si>
  <si>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</si>
  <si>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</si>
  <si>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</si>
  <si>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</si>
  <si>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</si>
  <si>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</si>
  <si>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</si>
  <si>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</si>
  <si>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</si>
  <si>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</si>
  <si>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</si>
  <si>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</si>
  <si>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</si>
  <si>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</si>
  <si>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</si>
  <si>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</si>
  <si>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</si>
  <si>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</si>
  <si>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</si>
  <si>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</si>
  <si>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</si>
  <si>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</si>
  <si>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</si>
  <si>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</si>
  <si>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</si>
  <si>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</si>
  <si>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</si>
  <si>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</si>
  <si>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</si>
  <si>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</si>
  <si>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</si>
  <si>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</si>
  <si>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</si>
  <si>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</si>
  <si>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</si>
  <si>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</si>
  <si>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</si>
  <si>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</si>
  <si>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</si>
  <si>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</si>
  <si>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</si>
  <si>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</si>
  <si>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</si>
  <si>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</si>
  <si>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</si>
  <si>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</si>
  <si>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</si>
  <si>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</si>
  <si>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</si>
  <si>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</si>
  <si>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</si>
  <si>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</si>
  <si>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</si>
  <si>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</si>
  <si>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</si>
  <si>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</si>
  <si>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</si>
  <si>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</si>
  <si>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</si>
  <si>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</si>
  <si>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</si>
  <si>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</si>
  <si>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</si>
  <si>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</si>
  <si>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</si>
  <si>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</si>
  <si>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</si>
  <si>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</si>
  <si>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</si>
  <si>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</si>
  <si>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</si>
  <si>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</si>
  <si>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</si>
  <si>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</si>
  <si>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</si>
  <si>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</si>
  <si>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</si>
  <si>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</si>
  <si>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</si>
  <si>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</si>
  <si>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</si>
  <si>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</si>
  <si>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</si>
  <si>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</si>
  <si>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</si>
  <si>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</si>
  <si>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</si>
  <si>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</si>
  <si>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</si>
  <si>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</si>
  <si>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</si>
  <si>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</si>
  <si>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</si>
  <si>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</si>
  <si>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</si>
  <si>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</si>
  <si>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</si>
  <si>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</si>
  <si>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</si>
  <si>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</si>
  <si>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</si>
  <si>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</si>
  <si>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</si>
  <si>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</si>
  <si>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</si>
  <si>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</si>
  <si>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</si>
  <si>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</si>
  <si>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</si>
  <si>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</si>
  <si>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</si>
  <si>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</si>
  <si>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</si>
  <si>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</si>
  <si>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</si>
  <si>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</si>
  <si>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</si>
  <si>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</si>
  <si>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</si>
  <si>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</si>
  <si>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</si>
  <si>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</si>
  <si>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</si>
  <si>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</si>
  <si>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</si>
  <si>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</si>
  <si>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</si>
  <si>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</si>
  <si>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</si>
  <si>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</si>
  <si>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</si>
  <si>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</si>
  <si>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</si>
  <si>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</si>
  <si>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</si>
  <si>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</si>
  <si>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</si>
  <si>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</si>
  <si>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</si>
  <si>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</si>
  <si>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</si>
  <si>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</si>
  <si>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</si>
  <si>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</si>
  <si>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</si>
  <si>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</si>
  <si>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</si>
  <si>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</si>
  <si>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</si>
  <si>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</si>
  <si>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</si>
  <si>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</si>
  <si>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</si>
  <si>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</si>
  <si>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</si>
  <si>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</si>
  <si>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</si>
  <si>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</si>
  <si>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</si>
  <si>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</si>
  <si>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</si>
  <si>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</si>
  <si>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</si>
  <si>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</si>
  <si>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</si>
  <si>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</si>
  <si>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</si>
  <si>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</si>
  <si>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</si>
  <si>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</si>
  <si>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</si>
  <si>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</si>
  <si>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</si>
  <si>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</si>
  <si>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</si>
  <si>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</si>
  <si>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</si>
  <si>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</si>
  <si>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</si>
  <si>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</si>
  <si>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</si>
  <si>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</si>
  <si>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</si>
  <si>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</si>
  <si>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</si>
  <si>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</si>
  <si>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</si>
  <si>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</si>
  <si>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</si>
  <si>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</si>
  <si>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</si>
  <si>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</si>
  <si>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</si>
  <si>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</si>
  <si>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</si>
  <si>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</si>
  <si>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</si>
  <si>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</si>
  <si>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</si>
  <si>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</si>
  <si>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</si>
  <si>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</si>
  <si>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</si>
  <si>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</si>
  <si>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</si>
  <si>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</si>
  <si>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</si>
  <si>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</si>
  <si>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</si>
  <si>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</si>
  <si>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</si>
  <si>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</si>
  <si>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</si>
  <si>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</si>
  <si>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</si>
  <si>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</si>
  <si>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</si>
  <si>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</si>
  <si>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</si>
  <si>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</si>
  <si>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</si>
  <si>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</si>
  <si>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</si>
  <si>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</si>
  <si>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</si>
  <si>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</si>
  <si>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</si>
  <si>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</si>
  <si>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</si>
  <si>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</si>
  <si>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</si>
  <si>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</si>
  <si>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</si>
  <si>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</si>
  <si>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</si>
  <si>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</si>
  <si>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</si>
  <si>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</si>
  <si>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</si>
  <si>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</si>
  <si>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</si>
  <si>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</si>
  <si>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</si>
  <si>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</si>
  <si>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</si>
  <si>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</si>
  <si>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</si>
  <si>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</si>
  <si>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</si>
  <si>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</si>
  <si>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</si>
  <si>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</si>
  <si>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</si>
  <si>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</si>
  <si>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</si>
  <si>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</si>
  <si>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</si>
  <si>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</si>
  <si>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</si>
  <si>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</si>
  <si>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</si>
  <si>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</si>
  <si>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</si>
  <si>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</si>
  <si>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</si>
  <si>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</si>
  <si>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</si>
  <si>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</si>
  <si>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</si>
  <si>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</si>
  <si>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</si>
  <si>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</si>
  <si>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</si>
  <si>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</si>
  <si>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</si>
  <si>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</si>
  <si>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</si>
  <si>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</si>
  <si>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</si>
  <si>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</si>
  <si>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</si>
  <si>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</si>
  <si>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</si>
  <si>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</si>
  <si>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</si>
  <si>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</si>
  <si>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</si>
  <si>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</si>
  <si>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</si>
  <si>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</si>
  <si>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</si>
  <si>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</si>
  <si>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</si>
  <si>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</si>
  <si>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</si>
  <si>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</si>
  <si>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</si>
  <si>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</si>
  <si>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</si>
  <si>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</si>
  <si>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</si>
  <si>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</si>
  <si>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</si>
  <si>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</si>
  <si>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</si>
  <si>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</si>
  <si>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</si>
  <si>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</si>
  <si>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</si>
  <si>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</si>
  <si>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</si>
  <si>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</si>
  <si>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</si>
  <si>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</si>
  <si>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</si>
  <si>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</si>
  <si>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</si>
  <si>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</si>
  <si>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</si>
  <si>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</si>
  <si>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</si>
  <si>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</si>
  <si>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</si>
  <si>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</si>
  <si>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</si>
  <si>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</si>
  <si>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</si>
  <si>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</si>
  <si>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</si>
  <si>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</si>
  <si>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</si>
  <si>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</si>
  <si>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</si>
  <si>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</si>
  <si>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</si>
  <si>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</si>
  <si>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</si>
  <si>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</si>
  <si>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</si>
  <si>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</si>
  <si>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</si>
  <si>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</si>
  <si>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</si>
  <si>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</si>
  <si>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</si>
  <si>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</si>
  <si>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</si>
  <si>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</si>
  <si>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</si>
  <si>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</si>
  <si>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</si>
  <si>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</si>
  <si>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</si>
  <si>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</si>
  <si>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</si>
  <si>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</si>
  <si>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</si>
  <si>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</si>
  <si>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</si>
  <si>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</si>
  <si>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</si>
  <si>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</si>
  <si>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</si>
  <si>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</si>
  <si>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</si>
  <si>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</si>
  <si>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</si>
  <si>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</si>
  <si>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</si>
  <si>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</si>
  <si>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</si>
  <si>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</si>
  <si>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</si>
  <si>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</si>
  <si>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</si>
  <si>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</si>
  <si>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</si>
  <si>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</si>
  <si>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</si>
  <si>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</si>
  <si>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</si>
  <si>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</si>
  <si>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</si>
  <si>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</si>
  <si>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</si>
  <si>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</si>
  <si>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</si>
  <si>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</si>
  <si>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</si>
  <si>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</si>
  <si>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</si>
  <si>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</si>
  <si>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</si>
  <si>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</si>
  <si>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</si>
  <si>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</si>
  <si>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</si>
  <si>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</si>
  <si>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</si>
  <si>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</si>
  <si>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</si>
  <si>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</si>
  <si>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</si>
  <si>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</si>
  <si>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</si>
  <si>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</si>
  <si>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</si>
  <si>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</si>
  <si>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</si>
  <si>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</si>
  <si>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</si>
  <si>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</si>
  <si>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</si>
  <si>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</si>
  <si>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</si>
  <si>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</si>
  <si>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</si>
  <si>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</si>
  <si>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</si>
  <si>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</si>
  <si>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</si>
  <si>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</si>
  <si>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</si>
  <si>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</si>
  <si>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</si>
  <si>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</si>
  <si>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</si>
  <si>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</si>
  <si>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</si>
  <si>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</si>
  <si>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</si>
  <si>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</si>
  <si>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</si>
  <si>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</si>
  <si>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</si>
  <si>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</si>
  <si>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</si>
  <si>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</si>
  <si>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</si>
  <si>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</si>
  <si>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</si>
  <si>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</si>
  <si>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</si>
  <si>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</si>
  <si>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</si>
  <si>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</si>
  <si>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</si>
  <si>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</si>
  <si>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</si>
  <si>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</si>
  <si>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</si>
  <si>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</si>
  <si>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</si>
  <si>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</si>
  <si>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</si>
  <si>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</si>
  <si>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</si>
  <si>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</si>
  <si>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</si>
  <si>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</si>
  <si>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</si>
  <si>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</si>
  <si>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</si>
  <si>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</si>
  <si>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</si>
  <si>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</si>
  <si>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</si>
  <si>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</si>
  <si>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</si>
  <si>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</si>
  <si>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</si>
  <si>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</si>
  <si>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</si>
  <si>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</si>
  <si>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</si>
  <si>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</si>
  <si>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</si>
  <si>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</si>
  <si>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</si>
  <si>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</si>
  <si>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</si>
  <si>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</si>
  <si>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</si>
  <si>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</si>
  <si>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</si>
  <si>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</si>
  <si>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</si>
  <si>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</si>
  <si>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</si>
  <si>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</si>
  <si>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</si>
  <si>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</si>
  <si>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</si>
  <si>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</si>
  <si>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</si>
  <si>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</si>
  <si>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</si>
  <si>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</si>
  <si>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</si>
  <si>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</si>
  <si>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</si>
  <si>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</si>
  <si>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</si>
  <si>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</si>
  <si>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</si>
  <si>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</si>
  <si>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</si>
  <si>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</si>
  <si>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</si>
  <si>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</si>
  <si>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</si>
  <si>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</si>
  <si>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</si>
  <si>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</si>
  <si>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</si>
  <si>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</si>
  <si>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</si>
  <si>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</si>
  <si>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</si>
  <si>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</si>
  <si>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</si>
  <si>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</si>
  <si>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</si>
  <si>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</si>
  <si>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</si>
  <si>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</si>
  <si>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</si>
  <si>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</si>
  <si>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</si>
  <si>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</si>
  <si>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</si>
  <si>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</si>
  <si>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</si>
  <si>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</si>
  <si>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</si>
  <si>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</si>
  <si>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</si>
  <si>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</si>
  <si>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</si>
  <si>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</si>
  <si>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</si>
  <si>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</si>
  <si>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</si>
  <si>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</si>
  <si>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</si>
  <si>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</si>
  <si>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</si>
  <si>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</si>
  <si>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</si>
  <si>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</si>
  <si>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</si>
  <si>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</si>
  <si>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</si>
  <si>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</si>
  <si>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</si>
  <si>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</si>
  <si>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</si>
  <si>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</si>
  <si>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</si>
  <si>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</si>
  <si>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</si>
  <si>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</si>
  <si>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</si>
  <si>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</si>
  <si>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</si>
  <si>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</si>
  <si>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</si>
  <si>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</si>
  <si>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</si>
  <si>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</si>
  <si>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</si>
  <si>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</si>
  <si>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</si>
  <si>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</si>
  <si>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</si>
  <si>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</si>
  <si>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</si>
  <si>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</si>
  <si>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</si>
  <si>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</si>
  <si>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</si>
  <si>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</si>
  <si>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</si>
  <si>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</si>
  <si>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</si>
  <si>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</si>
  <si>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</si>
  <si>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</si>
  <si>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</si>
  <si>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</si>
  <si>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</si>
  <si>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</si>
  <si>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</si>
  <si>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</si>
  <si>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</si>
  <si>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</si>
  <si>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</si>
  <si>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</si>
  <si>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</si>
  <si>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</si>
  <si>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</si>
  <si>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</si>
  <si>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</si>
  <si>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</si>
  <si>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</si>
  <si>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</si>
  <si>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</si>
  <si>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</si>
  <si>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</si>
  <si>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</si>
  <si>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</si>
  <si>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</si>
  <si>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</si>
  <si>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</si>
  <si>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</si>
  <si>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</si>
  <si>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</si>
  <si>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</si>
  <si>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</si>
  <si>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</si>
  <si>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</si>
  <si>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</si>
  <si>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</si>
  <si>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</si>
  <si>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</si>
  <si>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</si>
  <si>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</si>
  <si>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</si>
  <si>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</si>
  <si>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</si>
  <si>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</si>
  <si>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</si>
  <si>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</si>
  <si>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</si>
  <si>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</si>
  <si>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</si>
  <si>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</si>
  <si>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</si>
  <si>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</si>
  <si>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</si>
  <si>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</si>
  <si>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</si>
  <si>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</si>
  <si>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</si>
  <si>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</si>
  <si>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</si>
  <si>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</si>
  <si>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</si>
  <si>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</si>
  <si>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</si>
  <si>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</si>
  <si>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</si>
  <si>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</si>
  <si>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</si>
  <si>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</si>
  <si>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</si>
  <si>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</si>
  <si>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</si>
  <si>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</si>
  <si>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</si>
  <si>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</si>
  <si>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</si>
  <si>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</si>
  <si>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</si>
  <si>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</si>
  <si>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</si>
  <si>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</si>
  <si>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</si>
  <si>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</si>
  <si>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</si>
  <si>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</si>
  <si>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</si>
  <si>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</si>
  <si>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</si>
  <si>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</si>
  <si>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</si>
  <si>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</si>
  <si>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</si>
  <si>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</si>
  <si>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</si>
  <si>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</si>
  <si>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</si>
  <si>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</si>
  <si>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</si>
  <si>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</si>
  <si>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</si>
  <si>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</si>
  <si>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</si>
  <si>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</si>
  <si>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</si>
  <si>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</si>
  <si>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</si>
  <si>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</si>
  <si>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</si>
  <si>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</si>
  <si>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</si>
  <si>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</si>
  <si>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</si>
  <si>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</si>
  <si>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</si>
  <si>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</si>
  <si>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</si>
  <si>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</si>
  <si>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</si>
  <si>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</si>
  <si>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</si>
  <si>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</si>
  <si>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</si>
  <si>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</si>
  <si>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</si>
  <si>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</si>
  <si>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</si>
  <si>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</si>
  <si>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</si>
  <si>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</si>
  <si>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</si>
  <si>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</si>
  <si>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</si>
  <si>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</si>
  <si>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</si>
  <si>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</si>
  <si>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</si>
  <si>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</si>
  <si>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</si>
  <si>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</si>
  <si>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</si>
  <si>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</si>
  <si>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</si>
  <si>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</si>
  <si>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</si>
  <si>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</si>
  <si>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</si>
  <si>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</si>
  <si>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</si>
  <si>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</si>
  <si>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</si>
  <si>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</si>
  <si>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</si>
  <si>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</si>
  <si>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</si>
  <si>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</si>
  <si>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</si>
  <si>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</si>
  <si>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</si>
  <si>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</si>
  <si>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</si>
  <si>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</si>
  <si>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</si>
  <si>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</si>
  <si>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</si>
  <si>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</si>
  <si>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</si>
  <si>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</si>
  <si>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</si>
  <si>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</si>
  <si>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</si>
  <si>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</si>
  <si>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</si>
  <si>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</si>
  <si>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</si>
  <si>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</si>
  <si>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</si>
  <si>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</si>
  <si>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</si>
  <si>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</si>
  <si>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</si>
  <si>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</si>
  <si>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</si>
  <si>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</si>
  <si>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</si>
  <si>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</si>
  <si>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</si>
  <si>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</si>
  <si>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</si>
  <si>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</si>
  <si>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</si>
  <si>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</si>
  <si>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</si>
  <si>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</si>
  <si>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</si>
  <si>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</si>
  <si>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</si>
  <si>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</si>
  <si>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</si>
  <si>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</si>
  <si>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</si>
  <si>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</si>
  <si>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</si>
  <si>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</si>
  <si>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</si>
  <si>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</si>
  <si>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</si>
  <si>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</si>
  <si>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</si>
  <si>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</si>
  <si>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</si>
  <si>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</si>
  <si>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</si>
  <si>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</si>
  <si>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</si>
  <si>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</si>
  <si>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</si>
  <si>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</si>
  <si>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</si>
  <si>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</si>
  <si>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</si>
  <si>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</si>
  <si>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</si>
  <si>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</si>
  <si>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</si>
  <si>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</si>
  <si>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</si>
  <si>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</si>
  <si>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</si>
  <si>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</si>
  <si>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</si>
  <si>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</si>
  <si>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</si>
  <si>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</si>
  <si>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</si>
  <si>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</si>
  <si>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</si>
  <si>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</si>
  <si>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</si>
  <si>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</si>
  <si>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</si>
  <si>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</si>
  <si>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</si>
  <si>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</si>
  <si>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</si>
  <si>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</si>
  <si>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</si>
  <si>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</si>
  <si>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</si>
  <si>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</si>
  <si>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</si>
  <si>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</si>
  <si>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</si>
  <si>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</si>
  <si>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</si>
  <si>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</si>
  <si>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</si>
  <si>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</si>
  <si>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</si>
  <si>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</si>
  <si>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</si>
  <si>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</si>
  <si>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</si>
  <si>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</si>
  <si>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</si>
  <si>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</si>
  <si>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</si>
  <si>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</si>
  <si>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</si>
  <si>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</si>
  <si>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</si>
  <si>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</si>
  <si>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</si>
  <si>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</si>
  <si>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</si>
  <si>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</si>
  <si>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</si>
  <si>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</si>
  <si>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</si>
  <si>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</si>
  <si>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</si>
  <si>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</si>
  <si>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</si>
  <si>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</si>
  <si>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</si>
  <si>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</si>
  <si>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</si>
  <si>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</si>
  <si>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</si>
  <si>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</si>
  <si>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</si>
  <si>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</si>
  <si>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</si>
  <si>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</si>
  <si>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</si>
  <si>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</si>
  <si>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</si>
  <si>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</si>
  <si>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</si>
  <si>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</si>
  <si>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</si>
  <si>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</si>
  <si>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</si>
  <si>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</si>
  <si>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</si>
  <si>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</si>
  <si>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</si>
  <si>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</si>
  <si>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</si>
  <si>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</si>
  <si>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</si>
  <si>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</si>
  <si>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</si>
  <si>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</si>
  <si>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</si>
  <si>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</si>
  <si>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</si>
  <si>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</si>
  <si>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</si>
  <si>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</si>
  <si>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</si>
  <si>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</si>
  <si>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</si>
  <si>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</si>
  <si>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</si>
  <si>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</si>
  <si>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</si>
  <si>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</si>
  <si>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</si>
  <si>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</si>
  <si>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</si>
  <si>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</si>
  <si>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</si>
  <si>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</si>
  <si>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</si>
  <si>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</si>
  <si>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</si>
  <si>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</si>
  <si>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</si>
  <si>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</si>
  <si>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</si>
  <si>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</si>
  <si>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</si>
  <si>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</si>
  <si>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</si>
  <si>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</si>
  <si>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</si>
  <si>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</si>
  <si>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</si>
  <si>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</si>
  <si>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</si>
  <si>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</si>
  <si>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</si>
  <si>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</si>
  <si>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</si>
  <si>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</si>
  <si>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</si>
  <si>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</si>
  <si>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</si>
  <si>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</si>
  <si>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</si>
  <si>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</si>
  <si>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</si>
  <si>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</si>
  <si>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</si>
  <si>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</si>
  <si>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</si>
  <si>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</si>
  <si>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</si>
  <si>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</si>
  <si>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</si>
  <si>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</si>
  <si>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</si>
  <si>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</si>
  <si>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</si>
  <si>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</si>
  <si>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</si>
  <si>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</si>
  <si>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</si>
  <si>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</si>
  <si>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</si>
  <si>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</si>
  <si>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</si>
  <si>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</si>
  <si>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</si>
  <si>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</si>
  <si>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</si>
  <si>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</si>
  <si>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</si>
  <si>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</si>
  <si>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</si>
  <si>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</si>
  <si>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</si>
  <si>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</si>
  <si>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</si>
  <si>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</si>
  <si>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</si>
  <si>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</si>
  <si>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</si>
  <si>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</si>
  <si>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</si>
  <si>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</si>
  <si>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</si>
  <si>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</si>
  <si>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</si>
  <si>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</si>
  <si>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</si>
  <si>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</si>
  <si>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</si>
  <si>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</si>
  <si>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</si>
  <si>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</si>
  <si>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</si>
  <si>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</si>
  <si>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</si>
  <si>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</si>
  <si>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</si>
  <si>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</si>
  <si>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</si>
  <si>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</si>
  <si>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</si>
  <si>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</si>
  <si>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</si>
  <si>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</si>
  <si>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</si>
  <si>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</si>
  <si>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</si>
  <si>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</si>
  <si>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</si>
  <si>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</si>
  <si>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</si>
  <si>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</si>
  <si>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</si>
  <si>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</si>
  <si>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</si>
  <si>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</si>
  <si>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</si>
  <si>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</si>
  <si>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</si>
  <si>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</si>
  <si>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</si>
  <si>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</si>
  <si>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</si>
  <si>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</si>
  <si>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</si>
  <si>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</si>
  <si>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</si>
  <si>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</si>
  <si>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</si>
  <si>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</si>
  <si>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</si>
  <si>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</si>
  <si>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</si>
  <si>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</si>
  <si>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</si>
  <si>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</si>
  <si>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</si>
  <si>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</si>
  <si>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</si>
  <si>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</si>
  <si>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</si>
  <si>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</si>
  <si>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</si>
  <si>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</si>
  <si>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</si>
  <si>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</si>
  <si>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</si>
  <si>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</si>
  <si>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</si>
  <si>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</si>
  <si>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</si>
  <si>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</si>
  <si>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</si>
  <si>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</si>
  <si>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</si>
  <si>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</si>
  <si>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</si>
  <si>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</si>
  <si>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</si>
  <si>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</si>
  <si>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</si>
  <si>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</si>
  <si>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</si>
  <si>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</si>
  <si>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</si>
  <si>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</si>
  <si>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</si>
  <si>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</si>
  <si>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</si>
  <si>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</si>
  <si>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</si>
  <si>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</si>
  <si>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</si>
  <si>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</si>
  <si>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</si>
  <si>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</si>
  <si>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</si>
  <si>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</si>
  <si>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</si>
  <si>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</si>
  <si>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</si>
  <si>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</si>
  <si>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</si>
  <si>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</si>
  <si>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</si>
  <si>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</si>
  <si>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</si>
  <si>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</si>
  <si>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</si>
  <si>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</si>
  <si>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</si>
  <si>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</si>
  <si>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</si>
  <si>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</si>
  <si>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</si>
  <si>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</si>
  <si>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</si>
  <si>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</si>
  <si>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</si>
  <si>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</si>
  <si>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</si>
  <si>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</si>
  <si>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</si>
  <si>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</si>
  <si>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</si>
  <si>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</si>
  <si>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</si>
  <si>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</si>
  <si>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</si>
  <si>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</si>
  <si>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</si>
  <si>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</si>
  <si>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</si>
  <si>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</si>
  <si>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</si>
  <si>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</si>
  <si>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</si>
  <si>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</si>
  <si>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</si>
  <si>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</si>
  <si>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</si>
  <si>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</si>
  <si>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</si>
  <si>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</si>
  <si>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</si>
  <si>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</si>
  <si>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</si>
  <si>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</si>
  <si>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</si>
  <si>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</si>
  <si>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</si>
  <si>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</si>
  <si>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</si>
  <si>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</si>
  <si>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</si>
  <si>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</si>
  <si>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</si>
  <si>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</si>
  <si>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</si>
  <si>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</si>
  <si>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</si>
  <si>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</si>
  <si>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</si>
  <si>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</si>
  <si>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</si>
  <si>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</si>
  <si>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</si>
  <si>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</si>
  <si>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</si>
  <si>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</si>
  <si>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</si>
  <si>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</si>
  <si>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</si>
  <si>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</si>
  <si>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</si>
  <si>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</si>
  <si>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</si>
  <si>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</si>
  <si>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</si>
  <si>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</si>
  <si>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</si>
  <si>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</si>
  <si>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</si>
  <si>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</si>
  <si>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</si>
  <si>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</si>
  <si>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</si>
  <si>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</si>
  <si>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</si>
  <si>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</si>
  <si>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</si>
  <si>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</si>
  <si>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</si>
  <si>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</si>
  <si>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</si>
  <si>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</si>
  <si>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</si>
  <si>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</si>
  <si>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</si>
  <si>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</si>
  <si>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</si>
  <si>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</si>
  <si>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</si>
  <si>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</si>
  <si>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</si>
  <si>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</si>
  <si>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</si>
  <si>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</si>
  <si>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</si>
  <si>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</si>
  <si>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</si>
  <si>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</si>
  <si>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</si>
  <si>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</si>
  <si>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</si>
  <si>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</si>
  <si>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</si>
  <si>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</si>
  <si>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</si>
  <si>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</si>
  <si>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</si>
  <si>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</si>
  <si>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</si>
  <si>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</si>
  <si>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</si>
  <si>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</si>
  <si>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</si>
  <si>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</si>
  <si>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</si>
  <si>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</si>
  <si>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</si>
  <si>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</si>
  <si>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</si>
  <si>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</si>
  <si>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</si>
  <si>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</si>
  <si>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</si>
  <si>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</si>
  <si>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</si>
  <si>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</si>
  <si>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</si>
  <si>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</si>
  <si>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</si>
  <si>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</si>
  <si>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</si>
  <si>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</si>
  <si>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</si>
  <si>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</si>
  <si>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</si>
  <si>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</si>
  <si>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</si>
  <si>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</si>
  <si>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</si>
  <si>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</si>
  <si>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</si>
  <si>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</si>
  <si>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</si>
  <si>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</si>
  <si>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</si>
  <si>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</si>
  <si>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</si>
  <si>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</si>
  <si>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</si>
  <si>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</si>
  <si>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</si>
  <si>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</si>
  <si>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</si>
  <si>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</si>
  <si>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</si>
  <si>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</si>
  <si>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</si>
  <si>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</si>
  <si>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</si>
  <si>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</si>
  <si>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</si>
  <si>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</si>
  <si>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</si>
  <si>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</si>
  <si>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</si>
  <si>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</si>
  <si>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</si>
  <si>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</si>
  <si>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</si>
  <si>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</si>
  <si>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</si>
  <si>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</si>
  <si>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</si>
  <si>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</si>
  <si>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</si>
  <si>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</si>
  <si>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</si>
  <si>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</si>
  <si>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</si>
  <si>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</si>
  <si>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</si>
  <si>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</si>
  <si>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</si>
  <si>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</si>
  <si>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</si>
  <si>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</si>
  <si>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</si>
  <si>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</si>
  <si>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</si>
  <si>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</si>
  <si>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</si>
  <si>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</si>
  <si>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</si>
  <si>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</si>
  <si>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</si>
  <si>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</si>
  <si>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</si>
  <si>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</si>
  <si>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</si>
  <si>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</si>
  <si>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</si>
  <si>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</si>
  <si>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</si>
  <si>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</si>
  <si>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</si>
  <si>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</si>
  <si>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</si>
  <si>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</si>
  <si>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</si>
  <si>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</si>
  <si>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</si>
  <si>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</si>
  <si>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</si>
  <si>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</si>
  <si>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</si>
  <si>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</si>
  <si>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</si>
  <si>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</si>
  <si>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</si>
  <si>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</si>
  <si>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</si>
  <si>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</si>
  <si>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</si>
  <si>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</si>
  <si>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</si>
  <si>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</si>
  <si>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</si>
  <si>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</si>
  <si>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</si>
  <si>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</si>
  <si>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</si>
  <si>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</si>
  <si>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</si>
  <si>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</si>
  <si>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</si>
  <si>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</si>
  <si>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</si>
  <si>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</si>
  <si>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</si>
  <si>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</si>
  <si>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</si>
  <si>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</si>
  <si>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</si>
  <si>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</si>
  <si>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</si>
  <si>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</si>
  <si>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</si>
  <si>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</si>
  <si>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</si>
  <si>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</si>
  <si>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</si>
  <si>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</si>
  <si>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</si>
  <si>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</si>
  <si>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</si>
  <si>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</si>
  <si>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</si>
  <si>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</si>
  <si>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</si>
  <si>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</si>
  <si>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</si>
  <si>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</si>
  <si>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</si>
  <si>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</si>
  <si>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</si>
  <si>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</si>
  <si>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</si>
  <si>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</si>
  <si>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</si>
  <si>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</si>
  <si>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</si>
  <si>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</si>
  <si>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</si>
  <si>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</si>
  <si>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</si>
  <si>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</si>
  <si>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</si>
  <si>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</si>
  <si>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</si>
  <si>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</si>
  <si>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</si>
  <si>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</si>
  <si>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</si>
  <si>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</si>
  <si>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</si>
  <si>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</si>
  <si>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</si>
  <si>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</si>
  <si>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</si>
  <si>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</si>
  <si>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</si>
  <si>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</si>
  <si>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</si>
  <si>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</si>
  <si>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</si>
  <si>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</si>
  <si>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</si>
  <si>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</si>
  <si>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</si>
  <si>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</si>
  <si>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</si>
  <si>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</si>
  <si>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</si>
  <si>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</si>
  <si>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</si>
  <si>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</si>
  <si>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</si>
  <si>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</si>
  <si>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</si>
  <si>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</si>
  <si>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</si>
  <si>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</si>
  <si>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</si>
  <si>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</si>
  <si>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</si>
  <si>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</si>
  <si>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</si>
  <si>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</si>
  <si>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</si>
  <si>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</si>
  <si>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</si>
  <si>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</si>
  <si>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</si>
  <si>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</si>
  <si>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</si>
  <si>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</si>
  <si>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</si>
  <si>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</si>
  <si>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</si>
  <si>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</si>
  <si>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</si>
  <si>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</si>
  <si>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</si>
  <si>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</si>
  <si>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</si>
  <si>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</si>
  <si>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</si>
  <si>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</si>
  <si>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</si>
  <si>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</si>
  <si>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</si>
  <si>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</si>
  <si>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</si>
  <si>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</si>
  <si>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</si>
  <si>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</si>
  <si>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</si>
  <si>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</si>
  <si>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</si>
  <si>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</si>
  <si>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</si>
  <si>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</si>
  <si>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</si>
  <si>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</si>
  <si>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</si>
  <si>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</si>
  <si>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</si>
  <si>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</si>
  <si>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</si>
  <si>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</si>
  <si>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</si>
  <si>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</si>
  <si>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</si>
  <si>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</si>
  <si>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</si>
  <si>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</si>
  <si>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</si>
  <si>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</si>
  <si>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</si>
  <si>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</si>
  <si>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</si>
  <si>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</si>
  <si>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</si>
  <si>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</si>
  <si>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</si>
  <si>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</si>
  <si>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</si>
  <si>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</si>
  <si>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</si>
  <si>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</si>
  <si>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</si>
  <si>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</si>
  <si>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</si>
  <si>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</si>
  <si>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</si>
  <si>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</si>
  <si>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</si>
  <si>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</si>
  <si>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</si>
  <si>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</si>
  <si>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</si>
  <si>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</si>
  <si>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</si>
  <si>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</si>
  <si>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</si>
  <si>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</si>
  <si>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</si>
  <si>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</si>
  <si>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</si>
  <si>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</si>
  <si>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</si>
  <si>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</si>
  <si>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</si>
  <si>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</si>
  <si>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</si>
  <si>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</si>
  <si>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</si>
  <si>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</si>
  <si>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</si>
  <si>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</si>
  <si>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</si>
  <si>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</si>
  <si>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</si>
  <si>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</si>
  <si>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</si>
  <si>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</si>
  <si>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</si>
  <si>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</si>
  <si>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</si>
  <si>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</si>
  <si>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</si>
  <si>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</si>
  <si>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</si>
  <si>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</si>
  <si>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</si>
  <si>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</si>
  <si>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</si>
  <si>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</si>
  <si>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</si>
  <si>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</si>
  <si>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</si>
  <si>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</si>
  <si>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</si>
  <si>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</si>
  <si>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</si>
  <si>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</si>
  <si>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</si>
  <si>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</si>
  <si>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</si>
  <si>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</si>
  <si>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</si>
  <si>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</si>
  <si>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</si>
  <si>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</si>
  <si>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</si>
  <si>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</si>
  <si>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</si>
  <si>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</si>
  <si>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</si>
  <si>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</si>
  <si>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</si>
  <si>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</si>
  <si>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</si>
  <si>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</si>
  <si>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</si>
  <si>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</si>
  <si>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</si>
  <si>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</si>
  <si>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</si>
  <si>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</si>
  <si>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</si>
  <si>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</si>
  <si>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</si>
  <si>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</si>
  <si>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</si>
  <si>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</si>
  <si>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</si>
  <si>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</si>
  <si>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</si>
  <si>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</si>
  <si>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</si>
  <si>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</si>
  <si>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</si>
  <si>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</si>
  <si>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</si>
  <si>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</si>
  <si>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</si>
  <si>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</si>
  <si>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</si>
  <si>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</si>
  <si>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</si>
  <si>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</si>
  <si>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</si>
  <si>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</si>
  <si>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</si>
  <si>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</si>
  <si>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</si>
  <si>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</si>
  <si>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</si>
  <si>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</si>
  <si>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</si>
  <si>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</si>
  <si>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</si>
  <si>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</si>
  <si>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</si>
  <si>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</si>
  <si>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</si>
  <si>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</si>
  <si>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</si>
  <si>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</si>
  <si>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</si>
  <si>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</si>
  <si>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</si>
  <si>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</si>
  <si>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</si>
  <si>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</si>
  <si>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</si>
  <si>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</si>
  <si>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</si>
  <si>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</si>
  <si>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</si>
  <si>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</si>
  <si>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</si>
  <si>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</si>
  <si>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</si>
  <si>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</si>
  <si>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</si>
  <si>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</si>
  <si>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</si>
  <si>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</si>
  <si>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</si>
  <si>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</si>
  <si>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</si>
  <si>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</si>
  <si>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</si>
  <si>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</si>
  <si>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</si>
  <si>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</si>
  <si>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</si>
  <si>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</si>
  <si>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</si>
  <si>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</si>
  <si>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</si>
  <si>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</si>
  <si>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</si>
  <si>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</si>
  <si>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</si>
  <si>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</si>
  <si>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</si>
  <si>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</si>
  <si>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</si>
  <si>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</si>
  <si>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</si>
  <si>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</si>
  <si>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</si>
  <si>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</si>
  <si>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</si>
  <si>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</si>
  <si>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</si>
  <si>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</si>
  <si>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</si>
  <si>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</si>
  <si>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</si>
  <si>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</si>
  <si>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</si>
  <si>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</si>
  <si>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</si>
  <si>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</si>
  <si>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</si>
  <si>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</si>
  <si>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</si>
  <si>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</si>
  <si>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</si>
  <si>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</si>
  <si>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</si>
  <si>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</si>
  <si>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</si>
  <si>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</si>
  <si>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</si>
  <si>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</si>
  <si>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</si>
  <si>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</si>
  <si>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</si>
  <si>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</si>
  <si>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</si>
  <si>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</si>
  <si>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</si>
  <si>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</si>
  <si>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</si>
  <si>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</si>
  <si>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</si>
  <si>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</si>
  <si>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</si>
  <si>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</si>
  <si>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</si>
  <si>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</si>
  <si>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</si>
  <si>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</si>
  <si>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</si>
  <si>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</si>
  <si>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</si>
  <si>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</si>
  <si>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</si>
  <si>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</si>
  <si>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</si>
  <si>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</si>
  <si>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</si>
  <si>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</si>
  <si>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</si>
  <si>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</si>
  <si>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</si>
  <si>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</si>
  <si>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</si>
  <si>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</si>
  <si>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</si>
  <si>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</si>
  <si>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</si>
  <si>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</si>
  <si>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</si>
  <si>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</si>
  <si>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</si>
  <si>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</si>
  <si>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</si>
  <si>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</si>
  <si>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</si>
  <si>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</si>
  <si>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</si>
  <si>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</si>
  <si>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</si>
  <si>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</si>
  <si>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</si>
  <si>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</si>
  <si>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</si>
  <si>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</si>
  <si>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</si>
  <si>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</si>
  <si>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</si>
  <si>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</si>
  <si>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</si>
  <si>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</si>
  <si>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</si>
  <si>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</si>
  <si>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</si>
  <si>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</si>
  <si>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</si>
  <si>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</si>
  <si>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</si>
  <si>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</si>
  <si>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</si>
  <si>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</si>
  <si>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</si>
  <si>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</si>
  <si>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</si>
  <si>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</si>
  <si>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</si>
  <si>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</si>
  <si>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</si>
  <si>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</si>
  <si>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</si>
  <si>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</si>
  <si>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</si>
  <si>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</si>
  <si>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</si>
  <si>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</si>
  <si>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</si>
  <si>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</si>
  <si>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</si>
  <si>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</si>
  <si>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</si>
  <si>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</si>
  <si>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</si>
  <si>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</si>
  <si>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</si>
  <si>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</si>
  <si>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</si>
  <si>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</si>
  <si>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</si>
  <si>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</si>
  <si>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</si>
  <si>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</si>
  <si>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</si>
  <si>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</si>
  <si>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</si>
  <si>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</si>
  <si>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</si>
  <si>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</si>
  <si>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</si>
  <si>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</si>
  <si>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</si>
  <si>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</si>
  <si>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</si>
  <si>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</si>
  <si>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</si>
  <si>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</si>
  <si>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</si>
  <si>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</si>
  <si>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</si>
  <si>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</si>
  <si>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</si>
  <si>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</si>
  <si>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</si>
  <si>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</si>
  <si>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</si>
  <si>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</si>
  <si>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</si>
  <si>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</si>
  <si>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</si>
  <si>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</si>
  <si>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</si>
  <si>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</si>
  <si>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</si>
  <si>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</si>
  <si>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</si>
  <si>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</si>
  <si>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</si>
  <si>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</si>
  <si>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</si>
  <si>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</si>
  <si>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</si>
  <si>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</si>
  <si>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</si>
  <si>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</si>
  <si>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</si>
  <si>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</si>
  <si>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</si>
  <si>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</si>
  <si>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</si>
  <si>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</si>
  <si>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</si>
  <si>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</si>
  <si>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</si>
  <si>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</si>
  <si>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</si>
  <si>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</si>
  <si>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</si>
  <si>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</si>
  <si>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</si>
  <si>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</si>
  <si>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</si>
  <si>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</si>
  <si>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</si>
  <si>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</si>
  <si>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</si>
  <si>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</si>
  <si>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</si>
  <si>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</si>
  <si>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</si>
  <si>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</si>
  <si>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</si>
  <si>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</si>
  <si>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</si>
  <si>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</si>
  <si>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</si>
  <si>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</si>
  <si>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</si>
  <si>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</si>
  <si>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</si>
  <si>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</si>
  <si>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</si>
  <si>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</si>
  <si>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</si>
  <si>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</si>
  <si>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</si>
  <si>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</si>
  <si>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</si>
  <si>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</si>
  <si>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</si>
  <si>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</si>
  <si>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</si>
  <si>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</si>
  <si>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</si>
  <si>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</si>
  <si>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</si>
  <si>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</si>
  <si>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</si>
  <si>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</si>
  <si>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</si>
  <si>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</si>
  <si>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</si>
  <si>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</si>
  <si>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</si>
  <si>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</si>
  <si>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</si>
  <si>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</si>
  <si>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</si>
  <si>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</si>
  <si>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</si>
  <si>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</si>
  <si>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</si>
  <si>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</si>
  <si>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</si>
  <si>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</si>
  <si>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</si>
  <si>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</si>
  <si>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</si>
  <si>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</si>
  <si>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</si>
  <si>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</si>
  <si>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</si>
  <si>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</si>
  <si>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</si>
  <si>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</si>
  <si>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</si>
  <si>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</si>
  <si>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</si>
  <si>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</si>
  <si>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</si>
  <si>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</si>
  <si>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</si>
  <si>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</si>
  <si>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</si>
  <si>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</si>
  <si>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</si>
  <si>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</si>
  <si>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</si>
  <si>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</si>
  <si>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</si>
  <si>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</si>
  <si>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</si>
  <si>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</si>
  <si>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</si>
  <si>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</si>
  <si>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</si>
  <si>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</si>
  <si>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</si>
  <si>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</si>
  <si>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</si>
  <si>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</si>
  <si>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</si>
  <si>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</si>
  <si>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</si>
  <si>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</si>
  <si>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</si>
  <si>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</si>
  <si>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</si>
  <si>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</si>
  <si>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</si>
  <si>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</si>
  <si>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</si>
  <si>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</si>
  <si>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</si>
  <si>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</si>
  <si>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</si>
  <si>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</si>
  <si>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</si>
  <si>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</si>
  <si>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</si>
  <si>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</si>
  <si>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</si>
  <si>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</si>
  <si>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</si>
  <si>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</si>
  <si>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</si>
  <si>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</si>
  <si>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</si>
  <si>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</si>
  <si>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</si>
  <si>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</si>
  <si>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</si>
  <si>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</si>
  <si>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</si>
  <si>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</si>
  <si>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</si>
  <si>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</si>
  <si>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</si>
  <si>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</si>
  <si>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</si>
  <si>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</si>
  <si>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</si>
  <si>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</si>
  <si>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</si>
  <si>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</si>
  <si>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</si>
  <si>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</si>
  <si>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</si>
  <si>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</si>
  <si>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</si>
  <si>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</si>
  <si>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</si>
  <si>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</si>
  <si>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</si>
  <si>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</si>
  <si>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</si>
  <si>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</si>
  <si>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</si>
  <si>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</si>
  <si>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</si>
  <si>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</si>
  <si>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</si>
  <si>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</si>
  <si>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</si>
  <si>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</si>
  <si>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</si>
  <si>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</si>
  <si>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</si>
  <si>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</si>
  <si>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</si>
  <si>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</si>
  <si>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</si>
  <si>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</si>
  <si>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</si>
  <si>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</si>
  <si>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</si>
  <si>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</si>
  <si>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</si>
  <si>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</si>
  <si>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</si>
  <si>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</si>
  <si>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</si>
  <si>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</si>
  <si>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</si>
  <si>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</si>
  <si>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</si>
  <si>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</si>
  <si>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</si>
  <si>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</si>
  <si>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</si>
  <si>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</si>
  <si>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</si>
  <si>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</si>
  <si>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</si>
  <si>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</si>
  <si>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</si>
  <si>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</si>
  <si>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</si>
  <si>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</si>
  <si>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</si>
  <si>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</si>
  <si>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</si>
  <si>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</si>
  <si>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</si>
  <si>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</si>
  <si>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</si>
  <si>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</si>
  <si>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</si>
  <si>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</si>
  <si>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</si>
  <si>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</si>
  <si>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</si>
  <si>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</si>
  <si>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</si>
  <si>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</si>
  <si>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</si>
  <si>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</si>
  <si>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</si>
  <si>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</si>
  <si>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</si>
  <si>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</si>
  <si>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</si>
  <si>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</si>
  <si>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</si>
  <si>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</si>
  <si>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</si>
  <si>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</si>
  <si>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</si>
  <si>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</si>
  <si>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</si>
  <si>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</si>
  <si>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</si>
  <si>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</si>
  <si>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</si>
  <si>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</si>
  <si>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</si>
  <si>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</si>
  <si>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</si>
  <si>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</si>
  <si>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</si>
  <si>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</si>
  <si>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</si>
  <si>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</si>
  <si>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</si>
  <si>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</si>
  <si>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</si>
  <si>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</si>
  <si>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</si>
  <si>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</si>
  <si>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</si>
  <si>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</si>
  <si>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</si>
  <si>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</si>
  <si>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</si>
  <si>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</si>
  <si>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</si>
  <si>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</si>
  <si>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</si>
  <si>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</si>
  <si>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</si>
  <si>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</si>
  <si>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</si>
  <si>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</si>
  <si>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</si>
  <si>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</si>
  <si>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</si>
  <si>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</si>
  <si>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</si>
  <si>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</si>
  <si>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</si>
  <si>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</si>
  <si>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</si>
  <si>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</si>
  <si>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</si>
  <si>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</si>
  <si>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</si>
  <si>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</si>
  <si>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</si>
  <si>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</si>
  <si>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</si>
  <si>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</si>
  <si>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</si>
  <si>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</si>
  <si>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</si>
  <si>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</si>
  <si>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</si>
  <si>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</si>
  <si>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</si>
  <si>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</si>
  <si>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</si>
  <si>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</si>
  <si>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</si>
  <si>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</si>
  <si>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</si>
  <si>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</si>
  <si>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</si>
  <si>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</si>
  <si>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</si>
  <si>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</si>
  <si>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</si>
  <si>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</si>
  <si>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</si>
  <si>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</si>
  <si>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</si>
  <si>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</si>
  <si>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</si>
  <si>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</si>
  <si>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</si>
  <si>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</si>
  <si>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</si>
  <si>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</si>
  <si>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</si>
  <si>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</si>
  <si>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</si>
  <si>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</si>
  <si>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</si>
  <si>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</si>
  <si>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</si>
  <si>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</si>
  <si>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</si>
  <si>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</si>
  <si>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</si>
  <si>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</si>
  <si>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</si>
  <si>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</si>
  <si>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</si>
  <si>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</si>
  <si>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</si>
  <si>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</si>
  <si>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</si>
  <si>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</si>
  <si>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</si>
  <si>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</si>
  <si>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</si>
  <si>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</si>
  <si>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</si>
  <si>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</si>
  <si>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</si>
  <si>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</si>
  <si>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</si>
  <si>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</si>
  <si>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</si>
  <si>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</si>
  <si>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</si>
  <si>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</si>
  <si>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</si>
  <si>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</si>
  <si>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</si>
  <si>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</si>
  <si>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</si>
  <si>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</si>
  <si>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</si>
  <si>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</si>
  <si>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</si>
  <si>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</si>
  <si>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</si>
  <si>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</si>
  <si>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</si>
  <si>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</si>
  <si>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</si>
  <si>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</si>
  <si>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</si>
  <si>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</si>
  <si>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</si>
  <si>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</si>
  <si>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</si>
  <si>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</si>
  <si>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</si>
  <si>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</si>
  <si>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</si>
  <si>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</si>
  <si>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</si>
  <si>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</si>
  <si>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</si>
  <si>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</si>
  <si>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</si>
  <si>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</si>
  <si>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</si>
  <si>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</si>
  <si>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</si>
  <si>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</si>
  <si>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</si>
  <si>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</si>
  <si>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</si>
  <si>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</si>
  <si>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</si>
  <si>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</si>
  <si>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</si>
  <si>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</si>
  <si>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</si>
  <si>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</si>
  <si>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</si>
  <si>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</si>
  <si>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</si>
  <si>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</si>
  <si>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</si>
  <si>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</si>
  <si>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</si>
  <si>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</si>
  <si>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</si>
  <si>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</si>
  <si>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</si>
  <si>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</si>
  <si>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</si>
  <si>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</si>
  <si>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</si>
  <si>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</si>
  <si>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</si>
  <si>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</si>
  <si>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</si>
  <si>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</si>
  <si>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</si>
  <si>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</si>
  <si>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</si>
  <si>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</si>
  <si>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</si>
  <si>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</si>
  <si>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</si>
  <si>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</si>
  <si>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</si>
  <si>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</si>
  <si>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</si>
  <si>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</si>
  <si>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</si>
  <si>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</si>
  <si>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</si>
  <si>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</si>
  <si>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</si>
  <si>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</si>
  <si>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</si>
  <si>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</si>
  <si>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</si>
  <si>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</si>
  <si>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</si>
  <si>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</si>
  <si>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</si>
  <si>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</si>
  <si>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</si>
  <si>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</si>
  <si>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</si>
  <si>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</si>
  <si>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</si>
  <si>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</si>
  <si>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</si>
  <si>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</si>
  <si>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</si>
  <si>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</si>
  <si>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</si>
  <si>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</si>
  <si>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</si>
  <si>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</si>
  <si>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</si>
  <si>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</si>
  <si>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</si>
  <si>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</si>
  <si>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</si>
  <si>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</si>
  <si>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</si>
  <si>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</si>
  <si>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</si>
  <si>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</si>
  <si>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</si>
  <si>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</si>
  <si>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</si>
  <si>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</si>
  <si>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</si>
  <si>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</si>
  <si>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</si>
  <si>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</si>
  <si>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</si>
  <si>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</si>
  <si>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</si>
  <si>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</si>
  <si>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</si>
  <si>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</si>
  <si>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</si>
  <si>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</si>
  <si>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</si>
  <si>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</si>
  <si>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</si>
  <si>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</si>
  <si>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</si>
  <si>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</si>
  <si>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</si>
  <si>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</si>
  <si>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</si>
  <si>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</si>
  <si>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</si>
  <si>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</si>
  <si>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</si>
  <si>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</si>
  <si>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</si>
  <si>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</si>
  <si>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</si>
  <si>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</si>
  <si>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</si>
  <si>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</si>
  <si>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</si>
  <si>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</si>
  <si>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</si>
  <si>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</si>
  <si>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</si>
  <si>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</si>
  <si>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</si>
  <si>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</si>
  <si>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</si>
  <si>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</si>
  <si>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</si>
  <si>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</si>
  <si>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</si>
  <si>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</si>
  <si>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</si>
  <si>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</si>
  <si>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</si>
  <si>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</si>
  <si>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</si>
  <si>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</si>
  <si>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</si>
  <si>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</si>
  <si>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</si>
  <si>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</si>
  <si>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</si>
  <si>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</si>
  <si>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</si>
  <si>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</si>
  <si>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</si>
  <si>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</si>
  <si>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</si>
  <si>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</si>
  <si>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</si>
  <si>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</si>
  <si>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</si>
  <si>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</si>
  <si>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</si>
  <si>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</si>
  <si>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</si>
  <si>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</si>
  <si>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</si>
  <si>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</si>
  <si>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</si>
  <si>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</si>
  <si>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</si>
  <si>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</si>
  <si>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</si>
  <si>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</si>
  <si>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</si>
  <si>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</si>
  <si>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</si>
  <si>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</si>
  <si>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</si>
  <si>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</si>
  <si>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</si>
  <si>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</si>
  <si>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</si>
  <si>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</si>
  <si>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</si>
  <si>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</si>
  <si>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</si>
  <si>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</si>
  <si>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</si>
  <si>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</si>
  <si>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</si>
  <si>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</si>
  <si>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</si>
  <si>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</si>
  <si>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</si>
  <si>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</si>
  <si>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</si>
  <si>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</si>
  <si>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</si>
  <si>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</si>
  <si>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</si>
  <si>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</si>
  <si>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</si>
  <si>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</si>
  <si>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</si>
  <si>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</si>
  <si>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</si>
  <si>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</si>
  <si>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</si>
  <si>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</si>
  <si>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</si>
  <si>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</si>
  <si>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</si>
  <si>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</si>
  <si>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</si>
  <si>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</si>
  <si>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</si>
  <si>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</si>
  <si>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</si>
  <si>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</si>
  <si>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</si>
  <si>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</si>
  <si>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</si>
  <si>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</si>
  <si>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</si>
  <si>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</si>
  <si>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</si>
  <si>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</si>
  <si>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</si>
  <si>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</si>
  <si>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</si>
  <si>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</si>
  <si>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</si>
  <si>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</si>
  <si>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</si>
  <si>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</si>
  <si>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</si>
  <si>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</si>
  <si>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</si>
  <si>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</si>
  <si>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</si>
  <si>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</si>
  <si>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</si>
  <si>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</si>
  <si>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</si>
  <si>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</si>
  <si>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</si>
  <si>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</si>
  <si>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</si>
  <si>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</si>
  <si>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</si>
  <si>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</si>
  <si>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</si>
  <si>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</si>
  <si>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</si>
  <si>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</si>
  <si>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</si>
  <si>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</si>
  <si>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</si>
  <si>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</si>
  <si>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</si>
  <si>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</si>
  <si>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</si>
  <si>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</si>
  <si>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</si>
  <si>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</si>
  <si>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</si>
  <si>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</si>
  <si>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</si>
  <si>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</si>
  <si>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</si>
  <si>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</si>
  <si>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</si>
  <si>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</si>
  <si>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</si>
  <si>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</si>
  <si>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</si>
  <si>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</si>
  <si>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</si>
  <si>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</si>
  <si>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</si>
  <si>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</si>
  <si>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</si>
  <si>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</si>
  <si>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</si>
  <si>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</si>
  <si>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</si>
  <si>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</si>
  <si>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</si>
  <si>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</si>
  <si>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</si>
  <si>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</si>
  <si>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</si>
  <si>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</si>
  <si>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</si>
  <si>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</si>
  <si>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</si>
  <si>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</si>
  <si>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</si>
  <si>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</si>
  <si>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</si>
  <si>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</si>
  <si>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</si>
  <si>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</si>
  <si>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</si>
  <si>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</si>
  <si>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</si>
  <si>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</si>
  <si>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</si>
  <si>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</si>
  <si>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</si>
  <si>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</si>
  <si>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</si>
  <si>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</si>
  <si>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</si>
  <si>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</si>
  <si>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</si>
  <si>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</si>
  <si>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</si>
  <si>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</si>
  <si>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</si>
  <si>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</si>
  <si>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</si>
  <si>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</si>
  <si>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</si>
  <si>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</si>
  <si>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</si>
  <si>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</si>
  <si>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</si>
  <si>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</si>
  <si>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</si>
  <si>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</si>
  <si>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</si>
  <si>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</si>
  <si>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</si>
  <si>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</si>
  <si>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</si>
  <si>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</si>
  <si>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</si>
  <si>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</si>
  <si>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</si>
  <si>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</si>
  <si>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</si>
  <si>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</si>
  <si>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</si>
  <si>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</si>
  <si>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</si>
  <si>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</si>
  <si>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</si>
  <si>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</si>
  <si>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</si>
  <si>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</si>
  <si>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</si>
  <si>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</si>
  <si>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</si>
  <si>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</si>
  <si>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</si>
  <si>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</si>
  <si>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</si>
  <si>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</si>
  <si>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</si>
  <si>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</si>
  <si>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</si>
  <si>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</si>
  <si>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</si>
  <si>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</si>
  <si>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</si>
  <si>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</si>
  <si>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</si>
  <si>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</si>
  <si>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</si>
  <si>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</si>
  <si>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</si>
  <si>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</si>
  <si>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</si>
  <si>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</si>
  <si>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</si>
  <si>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</si>
  <si>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</si>
  <si>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</si>
  <si>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</si>
  <si>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</si>
  <si>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</si>
  <si>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</si>
  <si>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</si>
  <si>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</si>
  <si>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</si>
  <si>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</si>
  <si>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</si>
  <si>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</si>
  <si>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</si>
  <si>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</si>
  <si>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</si>
  <si>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</si>
  <si>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</si>
  <si>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</si>
  <si>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</si>
  <si>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</si>
  <si>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</si>
  <si>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</si>
  <si>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</si>
  <si>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</si>
  <si>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</si>
  <si>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</si>
  <si>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</si>
  <si>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</si>
  <si>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</si>
  <si>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</si>
  <si>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</si>
  <si>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</si>
  <si>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</si>
  <si>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</si>
  <si>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</si>
  <si>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</si>
  <si>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</si>
  <si>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</si>
  <si>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</si>
  <si>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</si>
  <si>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</si>
  <si>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</si>
  <si>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</si>
  <si>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</si>
  <si>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</si>
  <si>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</si>
  <si>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</si>
  <si>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</si>
  <si>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</si>
  <si>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</si>
  <si>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</si>
  <si>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</si>
  <si>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</si>
  <si>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</si>
  <si>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</si>
  <si>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</si>
  <si>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</si>
  <si>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</si>
  <si>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</si>
  <si>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</si>
  <si>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</si>
  <si>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</si>
  <si>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</si>
  <si>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</si>
  <si>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</si>
  <si>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</si>
  <si>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</si>
  <si>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</si>
  <si>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</si>
  <si>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</si>
  <si>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</si>
  <si>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</si>
  <si>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</si>
  <si>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</si>
  <si>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</si>
  <si>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</si>
  <si>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</si>
  <si>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</si>
  <si>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</si>
  <si>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</si>
  <si>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</si>
  <si>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</si>
  <si>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</si>
  <si>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</si>
  <si>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</si>
  <si>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</si>
  <si>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</si>
  <si>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</si>
  <si>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</si>
  <si>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</si>
  <si>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</si>
  <si>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</si>
  <si>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</si>
  <si>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</si>
  <si>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</si>
  <si>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</si>
  <si>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</si>
  <si>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</si>
  <si>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</si>
  <si>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</si>
  <si>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</si>
  <si>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</si>
  <si>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</si>
  <si>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</si>
  <si>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</si>
  <si>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</si>
  <si>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</si>
  <si>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</si>
  <si>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</si>
  <si>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</si>
  <si>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</si>
  <si>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</si>
  <si>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</si>
  <si>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</si>
  <si>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</si>
  <si>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</si>
  <si>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</si>
  <si>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</si>
  <si>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</si>
  <si>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</si>
  <si>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</si>
  <si>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</si>
  <si>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</si>
  <si>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</si>
  <si>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</si>
  <si>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</si>
  <si>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</si>
  <si>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</si>
  <si>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</si>
  <si>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</si>
  <si>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</si>
  <si>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</si>
  <si>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</si>
  <si>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</si>
  <si>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</si>
  <si>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</si>
  <si>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</si>
  <si>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</si>
  <si>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</si>
  <si>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</si>
  <si>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</si>
  <si>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</si>
  <si>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</si>
  <si>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</si>
  <si>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</si>
  <si>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</si>
  <si>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</si>
  <si>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</si>
  <si>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</si>
  <si>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</si>
  <si>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</si>
  <si>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</si>
  <si>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</si>
  <si>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</si>
  <si>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</si>
  <si>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</si>
  <si>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</si>
  <si>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</si>
  <si>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</si>
  <si>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</si>
  <si>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</si>
  <si>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</si>
  <si>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</si>
  <si>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</si>
  <si>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</si>
  <si>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</si>
  <si>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</si>
  <si>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</si>
  <si>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</si>
  <si>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</si>
  <si>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</si>
  <si>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</si>
  <si>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</si>
  <si>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</si>
  <si>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</si>
  <si>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</si>
  <si>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</si>
  <si>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</si>
  <si>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</si>
  <si>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</si>
  <si>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</si>
  <si>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</si>
  <si>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</si>
  <si>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</si>
  <si>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</si>
  <si>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</si>
  <si>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</si>
  <si>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</si>
  <si>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</si>
  <si>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</si>
  <si>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</si>
  <si>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</si>
  <si>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</si>
  <si>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</si>
  <si>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</si>
  <si>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</si>
  <si>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</si>
  <si>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</si>
  <si>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</si>
  <si>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</si>
  <si>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</si>
  <si>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</si>
  <si>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</si>
  <si>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</si>
  <si>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</si>
  <si>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</si>
  <si>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</si>
  <si>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</si>
  <si>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</si>
  <si>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</si>
  <si>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</si>
  <si>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</si>
  <si>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</si>
  <si>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</si>
  <si>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</si>
  <si>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</si>
  <si>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</si>
  <si>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</si>
  <si>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</si>
  <si>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</si>
  <si>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</si>
  <si>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</si>
  <si>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</si>
  <si>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</si>
  <si>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</si>
  <si>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</si>
  <si>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</si>
  <si>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</si>
  <si>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</si>
  <si>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</si>
  <si>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</si>
  <si>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</si>
  <si>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</si>
  <si>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</si>
  <si>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</si>
  <si>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</si>
  <si>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</si>
  <si>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</si>
  <si>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</si>
  <si>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</si>
  <si>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</si>
  <si>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</si>
  <si>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</si>
  <si>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</si>
  <si>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</si>
  <si>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</si>
  <si>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</si>
  <si>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</si>
  <si>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</si>
  <si>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</si>
  <si>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</si>
  <si>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</si>
  <si>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</si>
  <si>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</si>
  <si>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</si>
  <si>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</si>
  <si>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</si>
  <si>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</si>
  <si>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</si>
  <si>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</si>
  <si>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</si>
  <si>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</si>
  <si>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</si>
  <si>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</si>
  <si>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</si>
  <si>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</si>
  <si>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</si>
  <si>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</si>
  <si>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</si>
  <si>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</si>
  <si>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</si>
  <si>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</si>
  <si>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</si>
  <si>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</si>
  <si>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</si>
  <si>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</si>
  <si>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</si>
  <si>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</si>
  <si>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</si>
  <si>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</si>
  <si>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</si>
  <si>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</si>
  <si>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</si>
  <si>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</si>
  <si>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</si>
  <si>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</si>
  <si>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</si>
  <si>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</si>
  <si>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</si>
  <si>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</si>
  <si>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</si>
  <si>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</si>
  <si>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</si>
  <si>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</si>
  <si>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</si>
  <si>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</si>
  <si>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</si>
  <si>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</si>
  <si>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</si>
  <si>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</si>
  <si>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</si>
  <si>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</si>
  <si>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</si>
  <si>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</si>
  <si>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</si>
  <si>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</si>
  <si>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</si>
  <si>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</si>
  <si>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</si>
  <si>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</si>
  <si>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</si>
  <si>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</si>
  <si>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</si>
  <si>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</si>
  <si>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</si>
  <si>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</si>
  <si>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</si>
  <si>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</si>
  <si>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</si>
  <si>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</si>
  <si>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</si>
  <si>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</si>
  <si>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</si>
  <si>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</si>
  <si>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</si>
  <si>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</si>
  <si>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</si>
  <si>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</si>
  <si>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</si>
  <si>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</si>
  <si>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</si>
  <si>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</si>
  <si>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</si>
  <si>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</si>
  <si>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</si>
  <si>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</si>
  <si>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</si>
  <si>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</si>
  <si>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</si>
  <si>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</si>
  <si>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</si>
  <si>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</si>
  <si>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</si>
  <si>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</si>
  <si>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</si>
  <si>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</si>
  <si>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</si>
  <si>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</si>
  <si>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</si>
  <si>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</si>
  <si>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</si>
  <si>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</si>
  <si>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</si>
  <si>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</si>
  <si>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</si>
  <si>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</si>
  <si>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</si>
  <si>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</si>
  <si>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</si>
  <si>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</si>
  <si>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</si>
  <si>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</si>
  <si>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</si>
  <si>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</si>
  <si>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</si>
  <si>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</si>
  <si>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</si>
  <si>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</si>
  <si>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</si>
  <si>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</si>
  <si>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</si>
  <si>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</si>
  <si>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</si>
  <si>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</si>
  <si>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</si>
  <si>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</si>
  <si>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</si>
  <si>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</si>
  <si>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</si>
  <si>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 xml:space="preserve">24/11/1397 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</si>
  <si>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</si>
  <si>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</si>
  <si>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</si>
  <si>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</si>
  <si>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</si>
  <si>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</si>
  <si>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</si>
  <si>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</si>
  <si>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</si>
  <si>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</si>
  <si>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</si>
  <si>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</si>
  <si>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</si>
  <si>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</si>
  <si>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</si>
  <si>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</si>
  <si>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</si>
  <si>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</si>
  <si>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</si>
  <si>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</si>
  <si>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</si>
  <si>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</si>
  <si>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</si>
  <si>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</si>
  <si>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</si>
  <si>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</si>
  <si>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</si>
  <si>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</si>
  <si>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</si>
  <si>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</si>
  <si>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</si>
  <si>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</si>
  <si>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</si>
  <si>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تعداد سکه باقیمانده (3 تا دست مریم، 32 تا بورس مریم، 5 تا دست سارا،  16 تا بورس علی)</t>
  </si>
  <si>
    <t>32+13</t>
  </si>
  <si>
    <t>از کارت سارا 29/11</t>
  </si>
  <si>
    <t>نوسانگیری سکه حساب مریم 30/11</t>
  </si>
  <si>
    <t>عابر بانک</t>
  </si>
  <si>
    <t>عابربانک</t>
  </si>
  <si>
    <t>ارزش پرتفوی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</si>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</sst>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4585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F4" sqref="F4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4807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4824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4654</v>
      </c>
      <c r="B4" s="18">
        <v>0</v>
      </c>
      <c r="C4" s="18">
        <v>0</v>
      </c>
      <c r="D4" s="113">
        <f t="shared" si="0"/>
        <v>0</v>
      </c>
      <c r="E4" s="99" t="s">
        <v>61</v>
      </c>
      <c r="F4" s="96">
        <v>29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4670</v>
      </c>
      <c r="B5" s="18">
        <v>0</v>
      </c>
      <c r="C5" s="18">
        <v>0</v>
      </c>
      <c r="D5" s="113">
        <f t="shared" si="0"/>
        <v>0</v>
      </c>
      <c r="E5" s="20" t="s">
        <v>4667</v>
      </c>
      <c r="F5" s="96">
        <v>28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4682</v>
      </c>
      <c r="B6" s="18">
        <v>0</v>
      </c>
      <c r="C6" s="18">
        <v>0</v>
      </c>
      <c r="D6" s="113">
        <f t="shared" si="0"/>
        <v>0</v>
      </c>
      <c r="E6" s="19" t="s">
        <v>61</v>
      </c>
      <c r="F6" s="96">
        <v>25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4688</v>
      </c>
      <c r="B7" s="18">
        <v>0</v>
      </c>
      <c r="C7" s="18">
        <v>0</v>
      </c>
      <c r="D7" s="113">
        <f t="shared" si="0"/>
        <v>0</v>
      </c>
      <c r="E7" s="19" t="s">
        <v>3770</v>
      </c>
      <c r="F7" s="96">
        <v>24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4688</v>
      </c>
      <c r="B8" s="18">
        <v>0</v>
      </c>
      <c r="C8" s="18">
        <v>0</v>
      </c>
      <c r="D8" s="113">
        <f t="shared" si="0"/>
        <v>0</v>
      </c>
      <c r="E8" s="19" t="s">
        <v>3891</v>
      </c>
      <c r="F8" s="96">
        <v>23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4688</v>
      </c>
      <c r="B9" s="18">
        <v>0</v>
      </c>
      <c r="C9" s="18">
        <v>0</v>
      </c>
      <c r="D9" s="113">
        <f t="shared" si="0"/>
        <v>0</v>
      </c>
      <c r="E9" s="21" t="s">
        <v>4014</v>
      </c>
      <c r="F9" s="96">
        <v>23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4688</v>
      </c>
      <c r="B10" s="18">
        <v>0</v>
      </c>
      <c r="C10" s="18">
        <v>0</v>
      </c>
      <c r="D10" s="113">
        <f t="shared" si="0"/>
        <v>0</v>
      </c>
      <c r="E10" s="19" t="s">
        <v>4695</v>
      </c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4698</v>
      </c>
      <c r="B11" s="18">
        <v>0</v>
      </c>
      <c r="C11" s="18">
        <v>0</v>
      </c>
      <c r="D11" s="113">
        <f t="shared" si="0"/>
        <v>0</v>
      </c>
      <c r="E11" s="19" t="s">
        <v>3770</v>
      </c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4698</v>
      </c>
      <c r="B12" s="18">
        <v>0</v>
      </c>
      <c r="C12" s="18">
        <v>0</v>
      </c>
      <c r="D12" s="113">
        <f t="shared" si="0"/>
        <v>0</v>
      </c>
      <c r="E12" s="20" t="s">
        <v>3891</v>
      </c>
      <c r="F12" s="96">
        <v>22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4730</v>
      </c>
      <c r="B13" s="18">
        <v>0</v>
      </c>
      <c r="C13" s="18">
        <v>0</v>
      </c>
      <c r="D13" s="113">
        <f t="shared" si="0"/>
        <v>0</v>
      </c>
      <c r="E13" s="20" t="s">
        <v>3891</v>
      </c>
      <c r="F13" s="96">
        <v>20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4730</v>
      </c>
      <c r="B14" s="18">
        <v>0</v>
      </c>
      <c r="C14" s="18">
        <v>0</v>
      </c>
      <c r="D14" s="113">
        <f t="shared" si="0"/>
        <v>0</v>
      </c>
      <c r="E14" s="20" t="s">
        <v>1134</v>
      </c>
      <c r="F14" s="96">
        <v>20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4730</v>
      </c>
      <c r="B15" s="18">
        <v>0</v>
      </c>
      <c r="C15" s="18">
        <v>0</v>
      </c>
      <c r="D15" s="113">
        <f t="shared" si="0"/>
        <v>0</v>
      </c>
      <c r="E15" s="20" t="s">
        <v>505</v>
      </c>
      <c r="F15" s="96">
        <v>20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4737</v>
      </c>
      <c r="B16" s="18">
        <v>0</v>
      </c>
      <c r="C16" s="18">
        <v>0</v>
      </c>
      <c r="D16" s="113">
        <f t="shared" si="0"/>
        <v>0</v>
      </c>
      <c r="E16" s="20" t="s">
        <v>61</v>
      </c>
      <c r="F16" s="96">
        <v>19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4753</v>
      </c>
      <c r="B17" s="18">
        <v>0</v>
      </c>
      <c r="C17" s="18">
        <v>0</v>
      </c>
      <c r="D17" s="113">
        <f t="shared" si="0"/>
        <v>0</v>
      </c>
      <c r="E17" s="20" t="s">
        <v>3770</v>
      </c>
      <c r="F17" s="96">
        <v>15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4760</v>
      </c>
      <c r="B18" s="18">
        <v>0</v>
      </c>
      <c r="C18" s="18">
        <v>0</v>
      </c>
      <c r="D18" s="113">
        <f t="shared" si="0"/>
        <v>0</v>
      </c>
      <c r="E18" s="20" t="s">
        <v>3891</v>
      </c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4760</v>
      </c>
      <c r="B19" s="18">
        <v>0</v>
      </c>
      <c r="C19" s="18">
        <v>0</v>
      </c>
      <c r="D19" s="113">
        <f t="shared" si="0"/>
        <v>0</v>
      </c>
      <c r="E19" s="20" t="s">
        <v>4014</v>
      </c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4774</v>
      </c>
      <c r="B20" s="18">
        <v>0</v>
      </c>
      <c r="C20" s="18">
        <v>0</v>
      </c>
      <c r="D20" s="113">
        <f t="shared" si="0"/>
        <v>0</v>
      </c>
      <c r="E20" s="19" t="s">
        <v>821</v>
      </c>
      <c r="F20" s="96">
        <v>11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4763</v>
      </c>
      <c r="B21" s="18">
        <v>0</v>
      </c>
      <c r="C21" s="18">
        <v>0</v>
      </c>
      <c r="D21" s="113">
        <f t="shared" si="0"/>
        <v>0</v>
      </c>
      <c r="E21" s="19" t="s">
        <v>3927</v>
      </c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4765</v>
      </c>
      <c r="B22" s="18">
        <v>0</v>
      </c>
      <c r="C22" s="18">
        <v>0</v>
      </c>
      <c r="D22" s="113">
        <f t="shared" si="0"/>
        <v>0</v>
      </c>
      <c r="E22" s="19" t="s">
        <v>4775</v>
      </c>
      <c r="F22" s="96">
        <v>8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4786</v>
      </c>
      <c r="B23" s="18">
        <v>0</v>
      </c>
      <c r="C23" s="18">
        <v>0</v>
      </c>
      <c r="D23" s="113">
        <f t="shared" si="0"/>
        <v>0</v>
      </c>
      <c r="E23" s="19" t="s">
        <v>4787</v>
      </c>
      <c r="F23" s="96">
        <v>5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 t="s">
        <v>3927</v>
      </c>
      <c r="F24" s="96">
        <v>3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4796</v>
      </c>
      <c r="B25" s="18">
        <v>0</v>
      </c>
      <c r="C25" s="18">
        <v>0</v>
      </c>
      <c r="D25" s="113">
        <f t="shared" si="0"/>
        <v>0</v>
      </c>
      <c r="E25" s="19" t="s">
        <v>1134</v>
      </c>
      <c r="F25" s="96">
        <v>2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4644</v>
      </c>
      <c r="B31" s="219">
        <v>0</v>
      </c>
      <c r="C31" s="219">
        <v>0</v>
      </c>
      <c r="D31" s="219">
        <f t="shared" si="0"/>
        <v>0</v>
      </c>
      <c r="E31" s="21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1724104</v>
      </c>
      <c r="C32" s="113">
        <f>SUM(C2:C31)</f>
        <v>0</v>
      </c>
      <c r="D32" s="113">
        <f>SUM(D2:D31)</f>
        <v>1724104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46714050</v>
      </c>
      <c r="H33" s="18">
        <f>SUM(H2:H31)</f>
        <v>0</v>
      </c>
      <c r="I33" s="18">
        <f>SUM(I2:I31)</f>
        <v>46714050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4822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4823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0</v>
      </c>
      <c r="E43" s="122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0</v>
      </c>
      <c r="E44" s="122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0</v>
      </c>
      <c r="E45" s="122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0</v>
      </c>
      <c r="E46" s="122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0</v>
      </c>
      <c r="E47" s="122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0</v>
      </c>
      <c r="E48" s="12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0</v>
      </c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0</v>
      </c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929096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311" activePane="bottomLeft" state="frozen"/>
      <selection pane="bottomLeft" activeCell="F317" sqref="F31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1049</v>
      </c>
      <c r="H2" s="36">
        <f>IF(B2&gt;0,1,0)</f>
        <v>1</v>
      </c>
      <c r="I2" s="11">
        <f>B2*(G2-H2)</f>
        <v>17501600</v>
      </c>
      <c r="J2" s="53">
        <f>C2*(G2-H2)</f>
        <v>17501600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1048</v>
      </c>
      <c r="H3" s="36">
        <f t="shared" ref="H3:H66" si="2">IF(B3&gt;0,1,0)</f>
        <v>1</v>
      </c>
      <c r="I3" s="11">
        <f t="shared" ref="I3:I66" si="3">B3*(G3-H3)</f>
        <v>20835300000</v>
      </c>
      <c r="J3" s="53">
        <f t="shared" ref="J3:J66" si="4">C3*(G3-H3)</f>
        <v>11922189000</v>
      </c>
      <c r="K3" s="53">
        <f t="shared" ref="K3:K66" si="5">D3*(G3-H3)</f>
        <v>8913111000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1048</v>
      </c>
      <c r="H4" s="36">
        <f t="shared" si="2"/>
        <v>0</v>
      </c>
      <c r="I4" s="11">
        <f t="shared" si="3"/>
        <v>0</v>
      </c>
      <c r="J4" s="53">
        <f t="shared" si="4"/>
        <v>8908000</v>
      </c>
      <c r="K4" s="53">
        <f t="shared" si="5"/>
        <v>-8908000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1046</v>
      </c>
      <c r="H5" s="36">
        <f t="shared" si="2"/>
        <v>1</v>
      </c>
      <c r="I5" s="11">
        <f t="shared" si="3"/>
        <v>2090000000</v>
      </c>
      <c r="J5" s="53">
        <f t="shared" si="4"/>
        <v>0</v>
      </c>
      <c r="K5" s="53">
        <f t="shared" si="5"/>
        <v>2090000000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1039</v>
      </c>
      <c r="H6" s="36">
        <f t="shared" si="2"/>
        <v>0</v>
      </c>
      <c r="I6" s="11">
        <f t="shared" si="3"/>
        <v>-5195000</v>
      </c>
      <c r="J6" s="53">
        <f t="shared" si="4"/>
        <v>0</v>
      </c>
      <c r="K6" s="53">
        <f t="shared" si="5"/>
        <v>-5195000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1035</v>
      </c>
      <c r="H7" s="36">
        <f t="shared" si="2"/>
        <v>0</v>
      </c>
      <c r="I7" s="11">
        <f t="shared" si="3"/>
        <v>-1242517500</v>
      </c>
      <c r="J7" s="53">
        <f t="shared" si="4"/>
        <v>0</v>
      </c>
      <c r="K7" s="53">
        <f t="shared" si="5"/>
        <v>-1242517500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1034</v>
      </c>
      <c r="H8" s="36">
        <f t="shared" si="2"/>
        <v>0</v>
      </c>
      <c r="I8" s="11">
        <f t="shared" si="3"/>
        <v>-206800000</v>
      </c>
      <c r="J8" s="53">
        <f t="shared" si="4"/>
        <v>0</v>
      </c>
      <c r="K8" s="53">
        <f t="shared" si="5"/>
        <v>-206800000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1032</v>
      </c>
      <c r="H9" s="36">
        <f t="shared" si="2"/>
        <v>0</v>
      </c>
      <c r="I9" s="11">
        <f t="shared" si="3"/>
        <v>-728076000</v>
      </c>
      <c r="J9" s="53">
        <f t="shared" si="4"/>
        <v>0</v>
      </c>
      <c r="K9" s="53">
        <f t="shared" si="5"/>
        <v>-728076000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1023</v>
      </c>
      <c r="H10" s="36">
        <f t="shared" si="2"/>
        <v>0</v>
      </c>
      <c r="I10" s="11">
        <f t="shared" si="3"/>
        <v>-204600000</v>
      </c>
      <c r="J10" s="53">
        <f t="shared" si="4"/>
        <v>0</v>
      </c>
      <c r="K10" s="53">
        <f t="shared" si="5"/>
        <v>-204600000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1023</v>
      </c>
      <c r="H11" s="36">
        <f t="shared" si="2"/>
        <v>1</v>
      </c>
      <c r="I11" s="11">
        <f t="shared" si="3"/>
        <v>1022000000</v>
      </c>
      <c r="J11" s="53">
        <f t="shared" si="4"/>
        <v>0</v>
      </c>
      <c r="K11" s="53">
        <f t="shared" si="5"/>
        <v>1022000000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1019</v>
      </c>
      <c r="H12" s="36">
        <f t="shared" si="2"/>
        <v>0</v>
      </c>
      <c r="I12" s="11">
        <f t="shared" si="3"/>
        <v>-305700000</v>
      </c>
      <c r="J12" s="53">
        <f t="shared" si="4"/>
        <v>0</v>
      </c>
      <c r="K12" s="53">
        <f t="shared" si="5"/>
        <v>-305700000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1014</v>
      </c>
      <c r="H13" s="36">
        <f t="shared" si="2"/>
        <v>0</v>
      </c>
      <c r="I13" s="11">
        <f t="shared" si="3"/>
        <v>-62868000</v>
      </c>
      <c r="J13" s="53">
        <f t="shared" si="4"/>
        <v>0</v>
      </c>
      <c r="K13" s="53">
        <f t="shared" si="5"/>
        <v>-62868000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1014</v>
      </c>
      <c r="H14" s="36">
        <f t="shared" si="2"/>
        <v>1</v>
      </c>
      <c r="I14" s="11">
        <f t="shared" si="3"/>
        <v>2026000000</v>
      </c>
      <c r="J14" s="53">
        <f t="shared" si="4"/>
        <v>0</v>
      </c>
      <c r="K14" s="53">
        <f t="shared" si="5"/>
        <v>2026000000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1013</v>
      </c>
      <c r="H15" s="36">
        <f t="shared" si="2"/>
        <v>1</v>
      </c>
      <c r="I15" s="11">
        <f t="shared" si="3"/>
        <v>1821600000</v>
      </c>
      <c r="J15" s="53">
        <f t="shared" si="4"/>
        <v>0</v>
      </c>
      <c r="K15" s="53">
        <f t="shared" si="5"/>
        <v>1821600000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1013</v>
      </c>
      <c r="H16" s="36">
        <f t="shared" si="2"/>
        <v>0</v>
      </c>
      <c r="I16" s="11">
        <f t="shared" si="3"/>
        <v>-202600000</v>
      </c>
      <c r="J16" s="53">
        <f t="shared" si="4"/>
        <v>0</v>
      </c>
      <c r="K16" s="53">
        <f t="shared" si="5"/>
        <v>-202600000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1009</v>
      </c>
      <c r="H17" s="36">
        <f t="shared" si="2"/>
        <v>0</v>
      </c>
      <c r="I17" s="11">
        <f t="shared" si="3"/>
        <v>-2018000000</v>
      </c>
      <c r="J17" s="53">
        <f t="shared" si="4"/>
        <v>0</v>
      </c>
      <c r="K17" s="53">
        <f t="shared" si="5"/>
        <v>-2018000000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1008</v>
      </c>
      <c r="H18" s="36">
        <f t="shared" si="2"/>
        <v>0</v>
      </c>
      <c r="I18" s="11">
        <f t="shared" si="3"/>
        <v>-302400000</v>
      </c>
      <c r="J18" s="53">
        <f t="shared" si="4"/>
        <v>0</v>
      </c>
      <c r="K18" s="53">
        <f t="shared" si="5"/>
        <v>-302400000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1007</v>
      </c>
      <c r="H19" s="36">
        <f t="shared" si="2"/>
        <v>0</v>
      </c>
      <c r="I19" s="11">
        <f t="shared" si="3"/>
        <v>-201400000</v>
      </c>
      <c r="J19" s="53">
        <f t="shared" si="4"/>
        <v>0</v>
      </c>
      <c r="K19" s="53">
        <f t="shared" si="5"/>
        <v>-201400000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1005</v>
      </c>
      <c r="H20" s="36">
        <f t="shared" si="2"/>
        <v>1</v>
      </c>
      <c r="I20" s="11">
        <f t="shared" si="3"/>
        <v>272173356</v>
      </c>
      <c r="J20" s="53">
        <f t="shared" si="4"/>
        <v>148041808</v>
      </c>
      <c r="K20" s="53">
        <f t="shared" si="5"/>
        <v>124131548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1003</v>
      </c>
      <c r="H21" s="36">
        <f t="shared" si="2"/>
        <v>0</v>
      </c>
      <c r="I21" s="11">
        <f t="shared" si="3"/>
        <v>-1510217100</v>
      </c>
      <c r="J21" s="53">
        <f t="shared" si="4"/>
        <v>0</v>
      </c>
      <c r="K21" s="53">
        <f t="shared" si="5"/>
        <v>-1510217100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1000</v>
      </c>
      <c r="H22" s="36">
        <f t="shared" si="2"/>
        <v>1</v>
      </c>
      <c r="I22" s="11">
        <f t="shared" si="3"/>
        <v>2997000000</v>
      </c>
      <c r="J22" s="53">
        <f t="shared" si="4"/>
        <v>0</v>
      </c>
      <c r="K22" s="53">
        <f t="shared" si="5"/>
        <v>2997000000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999</v>
      </c>
      <c r="H23" s="36">
        <f t="shared" si="2"/>
        <v>1</v>
      </c>
      <c r="I23" s="11">
        <f t="shared" si="3"/>
        <v>998000000</v>
      </c>
      <c r="J23" s="53">
        <f t="shared" si="4"/>
        <v>0</v>
      </c>
      <c r="K23" s="53">
        <f t="shared" si="5"/>
        <v>998000000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998</v>
      </c>
      <c r="H24" s="36">
        <f t="shared" si="2"/>
        <v>0</v>
      </c>
      <c r="I24" s="11">
        <f t="shared" si="3"/>
        <v>-2994898200</v>
      </c>
      <c r="J24" s="53">
        <f t="shared" si="4"/>
        <v>0</v>
      </c>
      <c r="K24" s="53">
        <f t="shared" si="5"/>
        <v>-2994898200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983</v>
      </c>
      <c r="H25" s="36">
        <f t="shared" si="2"/>
        <v>1</v>
      </c>
      <c r="I25" s="11">
        <f t="shared" si="3"/>
        <v>1473000000</v>
      </c>
      <c r="J25" s="53">
        <f t="shared" si="4"/>
        <v>0</v>
      </c>
      <c r="K25" s="53">
        <f t="shared" si="5"/>
        <v>1473000000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975</v>
      </c>
      <c r="H26" s="36">
        <f t="shared" si="2"/>
        <v>0</v>
      </c>
      <c r="I26" s="11">
        <f t="shared" si="3"/>
        <v>-159900000</v>
      </c>
      <c r="J26" s="53">
        <f t="shared" si="4"/>
        <v>0</v>
      </c>
      <c r="K26" s="53">
        <f t="shared" si="5"/>
        <v>-159900000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974</v>
      </c>
      <c r="H27" s="36">
        <f t="shared" si="2"/>
        <v>1</v>
      </c>
      <c r="I27" s="11">
        <f t="shared" si="3"/>
        <v>194009389</v>
      </c>
      <c r="J27" s="53">
        <f t="shared" si="4"/>
        <v>104512849</v>
      </c>
      <c r="K27" s="53">
        <f t="shared" si="5"/>
        <v>89496540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972</v>
      </c>
      <c r="H28" s="36">
        <f t="shared" si="2"/>
        <v>0</v>
      </c>
      <c r="I28" s="11">
        <f t="shared" si="3"/>
        <v>-214812000</v>
      </c>
      <c r="J28" s="53">
        <f t="shared" si="4"/>
        <v>-214812000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972</v>
      </c>
      <c r="H29" s="36">
        <f t="shared" si="2"/>
        <v>0</v>
      </c>
      <c r="I29" s="11">
        <f t="shared" si="3"/>
        <v>-486486000</v>
      </c>
      <c r="J29" s="53">
        <f t="shared" si="4"/>
        <v>0</v>
      </c>
      <c r="K29" s="53">
        <f t="shared" si="5"/>
        <v>-486486000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972</v>
      </c>
      <c r="H30" s="36">
        <f t="shared" si="2"/>
        <v>0</v>
      </c>
      <c r="I30" s="11">
        <f t="shared" si="3"/>
        <v>-14580000000</v>
      </c>
      <c r="J30" s="53">
        <f t="shared" si="4"/>
        <v>-14580000000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955</v>
      </c>
      <c r="H31" s="36">
        <f t="shared" si="2"/>
        <v>0</v>
      </c>
      <c r="I31" s="11">
        <f t="shared" si="3"/>
        <v>-2875409500</v>
      </c>
      <c r="J31" s="53">
        <f t="shared" si="4"/>
        <v>0</v>
      </c>
      <c r="K31" s="53">
        <f t="shared" si="5"/>
        <v>-2875409500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953</v>
      </c>
      <c r="H32" s="36">
        <f t="shared" si="2"/>
        <v>0</v>
      </c>
      <c r="I32" s="11">
        <f t="shared" si="3"/>
        <v>-2864622700</v>
      </c>
      <c r="J32" s="53">
        <f t="shared" si="4"/>
        <v>0</v>
      </c>
      <c r="K32" s="53">
        <f t="shared" si="5"/>
        <v>-2864622700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952</v>
      </c>
      <c r="H33" s="36">
        <f t="shared" si="2"/>
        <v>0</v>
      </c>
      <c r="I33" s="11">
        <f t="shared" si="3"/>
        <v>-852516000</v>
      </c>
      <c r="J33" s="53">
        <f t="shared" si="4"/>
        <v>0</v>
      </c>
      <c r="K33" s="53">
        <f t="shared" si="5"/>
        <v>-852516000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952</v>
      </c>
      <c r="H34" s="36">
        <f t="shared" si="2"/>
        <v>0</v>
      </c>
      <c r="I34" s="11">
        <f t="shared" si="3"/>
        <v>0</v>
      </c>
      <c r="J34" s="53">
        <f t="shared" si="4"/>
        <v>952000000</v>
      </c>
      <c r="K34" s="53">
        <f t="shared" si="5"/>
        <v>-952000000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943</v>
      </c>
      <c r="H35" s="36">
        <f t="shared" si="2"/>
        <v>1</v>
      </c>
      <c r="I35" s="11">
        <f t="shared" si="3"/>
        <v>49428624</v>
      </c>
      <c r="J35" s="53">
        <f t="shared" si="4"/>
        <v>-20406546</v>
      </c>
      <c r="K35" s="53">
        <f t="shared" si="5"/>
        <v>69835170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943</v>
      </c>
      <c r="H36" s="36">
        <f t="shared" si="2"/>
        <v>0</v>
      </c>
      <c r="I36" s="11">
        <f t="shared" si="3"/>
        <v>0</v>
      </c>
      <c r="J36" s="53">
        <f t="shared" si="4"/>
        <v>20428209</v>
      </c>
      <c r="K36" s="53">
        <f t="shared" si="5"/>
        <v>-20428209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933</v>
      </c>
      <c r="H37" s="36">
        <f t="shared" si="2"/>
        <v>0</v>
      </c>
      <c r="I37" s="11">
        <f t="shared" si="3"/>
        <v>-51315000</v>
      </c>
      <c r="J37" s="53">
        <f t="shared" si="4"/>
        <v>0</v>
      </c>
      <c r="K37" s="53">
        <f t="shared" si="5"/>
        <v>-51315000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932</v>
      </c>
      <c r="H38" s="36">
        <f t="shared" si="2"/>
        <v>1</v>
      </c>
      <c r="I38" s="11">
        <f t="shared" si="3"/>
        <v>2793000000</v>
      </c>
      <c r="J38" s="53">
        <f t="shared" si="4"/>
        <v>2793000000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931</v>
      </c>
      <c r="H39" s="36">
        <f t="shared" si="2"/>
        <v>1</v>
      </c>
      <c r="I39" s="11">
        <f t="shared" si="3"/>
        <v>2325000000</v>
      </c>
      <c r="J39" s="53">
        <f t="shared" si="4"/>
        <v>2325000000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931</v>
      </c>
      <c r="H40" s="36">
        <f t="shared" si="2"/>
        <v>0</v>
      </c>
      <c r="I40" s="11">
        <f t="shared" si="3"/>
        <v>-46550000</v>
      </c>
      <c r="J40" s="53">
        <f t="shared" si="4"/>
        <v>0</v>
      </c>
      <c r="K40" s="53">
        <f t="shared" si="5"/>
        <v>-46550000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931</v>
      </c>
      <c r="H41" s="36">
        <f t="shared" si="2"/>
        <v>1</v>
      </c>
      <c r="I41" s="11">
        <f t="shared" si="3"/>
        <v>2790000000</v>
      </c>
      <c r="J41" s="53">
        <f t="shared" si="4"/>
        <v>0</v>
      </c>
      <c r="K41" s="53">
        <f t="shared" si="5"/>
        <v>2790000000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928</v>
      </c>
      <c r="H42" s="36">
        <f t="shared" si="2"/>
        <v>0</v>
      </c>
      <c r="I42" s="11">
        <f t="shared" si="3"/>
        <v>-82777600</v>
      </c>
      <c r="J42" s="53">
        <f t="shared" si="4"/>
        <v>0</v>
      </c>
      <c r="K42" s="53">
        <f t="shared" si="5"/>
        <v>-82777600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924</v>
      </c>
      <c r="H43" s="36">
        <f t="shared" si="2"/>
        <v>0</v>
      </c>
      <c r="I43" s="11">
        <f t="shared" si="3"/>
        <v>-184800000</v>
      </c>
      <c r="J43" s="53">
        <f t="shared" si="4"/>
        <v>0</v>
      </c>
      <c r="K43" s="53">
        <f t="shared" si="5"/>
        <v>-184800000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922</v>
      </c>
      <c r="H44" s="36">
        <f t="shared" si="2"/>
        <v>0</v>
      </c>
      <c r="I44" s="11">
        <f t="shared" si="3"/>
        <v>-184400000</v>
      </c>
      <c r="J44" s="53">
        <f t="shared" si="4"/>
        <v>0</v>
      </c>
      <c r="K44" s="53">
        <f t="shared" si="5"/>
        <v>-184400000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922</v>
      </c>
      <c r="H45" s="36">
        <f t="shared" si="2"/>
        <v>0</v>
      </c>
      <c r="I45" s="11">
        <f t="shared" si="3"/>
        <v>-516320000</v>
      </c>
      <c r="J45" s="53">
        <f t="shared" si="4"/>
        <v>0</v>
      </c>
      <c r="K45" s="53">
        <f t="shared" si="5"/>
        <v>-516320000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918</v>
      </c>
      <c r="H46" s="36">
        <f t="shared" si="2"/>
        <v>0</v>
      </c>
      <c r="I46" s="11">
        <f t="shared" si="3"/>
        <v>-647649000</v>
      </c>
      <c r="J46" s="53">
        <f t="shared" si="4"/>
        <v>0</v>
      </c>
      <c r="K46" s="53">
        <f t="shared" si="5"/>
        <v>-647649000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912</v>
      </c>
      <c r="H47" s="36">
        <f t="shared" si="2"/>
        <v>1</v>
      </c>
      <c r="I47" s="11">
        <f t="shared" si="3"/>
        <v>37536844</v>
      </c>
      <c r="J47" s="53">
        <f t="shared" si="4"/>
        <v>6115543</v>
      </c>
      <c r="K47" s="53">
        <f t="shared" si="5"/>
        <v>31421301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912</v>
      </c>
      <c r="H48" s="36">
        <f t="shared" si="2"/>
        <v>1</v>
      </c>
      <c r="I48" s="11">
        <f t="shared" si="3"/>
        <v>1552981700</v>
      </c>
      <c r="J48" s="53">
        <f t="shared" si="4"/>
        <v>0</v>
      </c>
      <c r="K48" s="53">
        <f t="shared" si="5"/>
        <v>1552981700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903</v>
      </c>
      <c r="H49" s="36">
        <f t="shared" si="2"/>
        <v>0</v>
      </c>
      <c r="I49" s="11">
        <f t="shared" si="3"/>
        <v>-139965000</v>
      </c>
      <c r="J49" s="53">
        <f t="shared" si="4"/>
        <v>0</v>
      </c>
      <c r="K49" s="53">
        <f t="shared" si="5"/>
        <v>-139965000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903</v>
      </c>
      <c r="H50" s="36">
        <f t="shared" si="2"/>
        <v>0</v>
      </c>
      <c r="I50" s="11">
        <f t="shared" si="3"/>
        <v>-124614000</v>
      </c>
      <c r="J50" s="53">
        <f t="shared" si="4"/>
        <v>0</v>
      </c>
      <c r="K50" s="53">
        <f t="shared" si="5"/>
        <v>-124614000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903</v>
      </c>
      <c r="H51" s="36">
        <f t="shared" si="2"/>
        <v>0</v>
      </c>
      <c r="I51" s="11">
        <f t="shared" si="3"/>
        <v>-668220000</v>
      </c>
      <c r="J51" s="53">
        <f t="shared" si="4"/>
        <v>0</v>
      </c>
      <c r="K51" s="53">
        <f t="shared" si="5"/>
        <v>-668220000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903</v>
      </c>
      <c r="H52" s="36">
        <f t="shared" si="2"/>
        <v>0</v>
      </c>
      <c r="I52" s="11">
        <f t="shared" si="3"/>
        <v>-180600000</v>
      </c>
      <c r="J52" s="53">
        <f t="shared" si="4"/>
        <v>0</v>
      </c>
      <c r="K52" s="53">
        <f t="shared" si="5"/>
        <v>-180600000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902</v>
      </c>
      <c r="H53" s="36">
        <f t="shared" si="2"/>
        <v>0</v>
      </c>
      <c r="I53" s="11">
        <f t="shared" si="3"/>
        <v>-951610000</v>
      </c>
      <c r="J53" s="53">
        <f t="shared" si="4"/>
        <v>0</v>
      </c>
      <c r="K53" s="53">
        <f t="shared" si="5"/>
        <v>-951610000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902</v>
      </c>
      <c r="H54" s="36">
        <f t="shared" si="2"/>
        <v>0</v>
      </c>
      <c r="I54" s="11">
        <f t="shared" si="3"/>
        <v>-180400000</v>
      </c>
      <c r="J54" s="53">
        <f t="shared" si="4"/>
        <v>0</v>
      </c>
      <c r="K54" s="53">
        <f t="shared" si="5"/>
        <v>-180400000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902</v>
      </c>
      <c r="H55" s="36">
        <f t="shared" si="2"/>
        <v>0</v>
      </c>
      <c r="I55" s="11">
        <f t="shared" si="3"/>
        <v>-902451000</v>
      </c>
      <c r="J55" s="53">
        <f t="shared" si="4"/>
        <v>0</v>
      </c>
      <c r="K55" s="53">
        <f t="shared" si="5"/>
        <v>-902451000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902</v>
      </c>
      <c r="H56" s="36">
        <f t="shared" si="2"/>
        <v>0</v>
      </c>
      <c r="I56" s="11">
        <f t="shared" si="3"/>
        <v>-34276000</v>
      </c>
      <c r="J56" s="53">
        <f t="shared" si="4"/>
        <v>0</v>
      </c>
      <c r="K56" s="53">
        <f t="shared" si="5"/>
        <v>-34276000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902</v>
      </c>
      <c r="H57" s="36">
        <f t="shared" si="2"/>
        <v>0</v>
      </c>
      <c r="I57" s="11">
        <f t="shared" si="3"/>
        <v>-94710000</v>
      </c>
      <c r="J57" s="53">
        <f t="shared" si="4"/>
        <v>0</v>
      </c>
      <c r="K57" s="53">
        <f t="shared" si="5"/>
        <v>-94710000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902</v>
      </c>
      <c r="H58" s="36">
        <f t="shared" si="2"/>
        <v>0</v>
      </c>
      <c r="I58" s="11">
        <f t="shared" si="3"/>
        <v>-54120000</v>
      </c>
      <c r="J58" s="53">
        <f t="shared" si="4"/>
        <v>0</v>
      </c>
      <c r="K58" s="53">
        <f t="shared" si="5"/>
        <v>-54120000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899</v>
      </c>
      <c r="H59" s="36">
        <f t="shared" si="2"/>
        <v>1</v>
      </c>
      <c r="I59" s="11">
        <f t="shared" si="3"/>
        <v>898000000</v>
      </c>
      <c r="J59" s="53">
        <f t="shared" si="4"/>
        <v>898000000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898</v>
      </c>
      <c r="H60" s="36">
        <f t="shared" si="2"/>
        <v>1</v>
      </c>
      <c r="I60" s="11">
        <f t="shared" si="3"/>
        <v>3139500000</v>
      </c>
      <c r="J60" s="53">
        <f t="shared" si="4"/>
        <v>3139500000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896</v>
      </c>
      <c r="H61" s="36">
        <f t="shared" si="2"/>
        <v>1</v>
      </c>
      <c r="I61" s="11">
        <f t="shared" si="3"/>
        <v>895000000</v>
      </c>
      <c r="J61" s="53">
        <f t="shared" si="4"/>
        <v>895000000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896</v>
      </c>
      <c r="H62" s="36">
        <f t="shared" si="2"/>
        <v>1</v>
      </c>
      <c r="I62" s="11">
        <f t="shared" si="3"/>
        <v>2685000000</v>
      </c>
      <c r="J62" s="53">
        <f t="shared" si="4"/>
        <v>2685000000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894</v>
      </c>
      <c r="H63" s="36">
        <f t="shared" si="2"/>
        <v>0</v>
      </c>
      <c r="I63" s="11">
        <f t="shared" si="3"/>
        <v>-178800000</v>
      </c>
      <c r="J63" s="53">
        <f t="shared" si="4"/>
        <v>0</v>
      </c>
      <c r="K63" s="53">
        <f t="shared" si="5"/>
        <v>-178800000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889</v>
      </c>
      <c r="H64" s="36">
        <f t="shared" si="2"/>
        <v>0</v>
      </c>
      <c r="I64" s="11">
        <f t="shared" si="3"/>
        <v>-44450000</v>
      </c>
      <c r="J64" s="53">
        <f t="shared" si="4"/>
        <v>0</v>
      </c>
      <c r="K64" s="53">
        <f t="shared" si="5"/>
        <v>-44450000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885</v>
      </c>
      <c r="H65" s="36">
        <f t="shared" si="2"/>
        <v>0</v>
      </c>
      <c r="I65" s="11">
        <f t="shared" si="3"/>
        <v>-177000000</v>
      </c>
      <c r="J65" s="53">
        <f t="shared" si="4"/>
        <v>0</v>
      </c>
      <c r="K65" s="53">
        <f t="shared" si="5"/>
        <v>-177000000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882</v>
      </c>
      <c r="H66" s="36">
        <f t="shared" si="2"/>
        <v>0</v>
      </c>
      <c r="I66" s="11">
        <f t="shared" si="3"/>
        <v>-149940000</v>
      </c>
      <c r="J66" s="53">
        <f t="shared" si="4"/>
        <v>0</v>
      </c>
      <c r="K66" s="53">
        <f t="shared" si="5"/>
        <v>-149940000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881</v>
      </c>
      <c r="H67" s="36">
        <f t="shared" ref="H67:H131" si="8">IF(B67&gt;0,1,0)</f>
        <v>1</v>
      </c>
      <c r="I67" s="11">
        <f t="shared" ref="I67:I119" si="9">B67*(G67-H67)</f>
        <v>80366000</v>
      </c>
      <c r="J67" s="53">
        <f t="shared" ref="J67:J131" si="10">C67*(G67-H67)</f>
        <v>57836240</v>
      </c>
      <c r="K67" s="53">
        <f t="shared" ref="K67:K131" si="11">D67*(G67-H67)</f>
        <v>22529760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863</v>
      </c>
      <c r="H68" s="36">
        <f t="shared" si="8"/>
        <v>0</v>
      </c>
      <c r="I68" s="11">
        <f t="shared" si="9"/>
        <v>-125135000</v>
      </c>
      <c r="J68" s="53">
        <f t="shared" si="10"/>
        <v>0</v>
      </c>
      <c r="K68" s="53">
        <f t="shared" si="11"/>
        <v>-125135000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856</v>
      </c>
      <c r="H69" s="36">
        <f t="shared" si="8"/>
        <v>1</v>
      </c>
      <c r="I69" s="11">
        <f t="shared" si="9"/>
        <v>837900000</v>
      </c>
      <c r="J69" s="53">
        <f t="shared" si="10"/>
        <v>0</v>
      </c>
      <c r="K69" s="53">
        <f t="shared" si="11"/>
        <v>837900000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853</v>
      </c>
      <c r="H70" s="36">
        <f t="shared" si="8"/>
        <v>0</v>
      </c>
      <c r="I70" s="11">
        <f t="shared" si="9"/>
        <v>-39238000</v>
      </c>
      <c r="J70" s="53">
        <f t="shared" si="10"/>
        <v>0</v>
      </c>
      <c r="K70" s="53">
        <f t="shared" si="11"/>
        <v>-39238000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851</v>
      </c>
      <c r="H71" s="36">
        <f t="shared" si="8"/>
        <v>1</v>
      </c>
      <c r="I71" s="11">
        <f t="shared" si="9"/>
        <v>98037300</v>
      </c>
      <c r="J71" s="53">
        <f t="shared" si="10"/>
        <v>88240200</v>
      </c>
      <c r="K71" s="53">
        <f t="shared" si="11"/>
        <v>9797100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850</v>
      </c>
      <c r="H72" s="36">
        <f t="shared" si="8"/>
        <v>0</v>
      </c>
      <c r="I72" s="11">
        <f t="shared" si="9"/>
        <v>-129173650</v>
      </c>
      <c r="J72" s="53">
        <f t="shared" si="10"/>
        <v>0</v>
      </c>
      <c r="K72" s="53">
        <f t="shared" si="11"/>
        <v>-129173650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849</v>
      </c>
      <c r="H73" s="36">
        <f t="shared" si="8"/>
        <v>0</v>
      </c>
      <c r="I73" s="11">
        <f t="shared" si="9"/>
        <v>-683869500</v>
      </c>
      <c r="J73" s="53">
        <f t="shared" si="10"/>
        <v>0</v>
      </c>
      <c r="K73" s="53">
        <f t="shared" si="11"/>
        <v>-683869500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842</v>
      </c>
      <c r="H74" s="36">
        <f t="shared" si="8"/>
        <v>1</v>
      </c>
      <c r="I74" s="11">
        <f t="shared" si="9"/>
        <v>5882795000</v>
      </c>
      <c r="J74" s="53">
        <f t="shared" si="10"/>
        <v>0</v>
      </c>
      <c r="K74" s="53">
        <f t="shared" si="11"/>
        <v>5882795000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841</v>
      </c>
      <c r="H75" s="36">
        <f t="shared" si="8"/>
        <v>1</v>
      </c>
      <c r="I75" s="11">
        <f t="shared" si="9"/>
        <v>2520000000</v>
      </c>
      <c r="J75" s="53">
        <f t="shared" si="10"/>
        <v>0</v>
      </c>
      <c r="K75" s="53">
        <f t="shared" si="11"/>
        <v>2520000000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839</v>
      </c>
      <c r="H76" s="36">
        <f t="shared" si="8"/>
        <v>1</v>
      </c>
      <c r="I76" s="11">
        <f t="shared" si="9"/>
        <v>2514000000</v>
      </c>
      <c r="J76" s="53">
        <f t="shared" si="10"/>
        <v>0</v>
      </c>
      <c r="K76" s="53">
        <f t="shared" si="11"/>
        <v>2514000000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838</v>
      </c>
      <c r="H77" s="36">
        <f t="shared" si="8"/>
        <v>1</v>
      </c>
      <c r="I77" s="11">
        <f t="shared" si="9"/>
        <v>2511000000</v>
      </c>
      <c r="J77" s="53">
        <f t="shared" si="10"/>
        <v>0</v>
      </c>
      <c r="K77" s="53">
        <f t="shared" si="11"/>
        <v>2511000000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837</v>
      </c>
      <c r="H78" s="36">
        <f t="shared" si="8"/>
        <v>0</v>
      </c>
      <c r="I78" s="11">
        <f t="shared" si="9"/>
        <v>-2678400000</v>
      </c>
      <c r="J78" s="53">
        <f t="shared" si="10"/>
        <v>-2678400000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836</v>
      </c>
      <c r="H79" s="36">
        <f t="shared" si="8"/>
        <v>0</v>
      </c>
      <c r="I79" s="11">
        <f t="shared" si="9"/>
        <v>-668800000</v>
      </c>
      <c r="J79" s="53">
        <f t="shared" si="10"/>
        <v>-668800000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835</v>
      </c>
      <c r="H80" s="36">
        <f t="shared" si="8"/>
        <v>0</v>
      </c>
      <c r="I80" s="11">
        <f t="shared" si="9"/>
        <v>-40408155</v>
      </c>
      <c r="J80" s="53">
        <f t="shared" si="10"/>
        <v>0</v>
      </c>
      <c r="K80" s="53">
        <f t="shared" si="11"/>
        <v>-40408155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834</v>
      </c>
      <c r="H81" s="36">
        <f t="shared" si="8"/>
        <v>0</v>
      </c>
      <c r="I81" s="11">
        <f t="shared" si="9"/>
        <v>-116760000</v>
      </c>
      <c r="J81" s="53">
        <f t="shared" si="10"/>
        <v>0</v>
      </c>
      <c r="K81" s="53">
        <f t="shared" si="11"/>
        <v>-116760000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833</v>
      </c>
      <c r="H82" s="36">
        <f t="shared" si="8"/>
        <v>0</v>
      </c>
      <c r="I82" s="11">
        <f t="shared" si="9"/>
        <v>-208250000</v>
      </c>
      <c r="J82" s="53">
        <f t="shared" si="10"/>
        <v>0</v>
      </c>
      <c r="K82" s="53">
        <f t="shared" si="11"/>
        <v>-208250000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832</v>
      </c>
      <c r="H83" s="36">
        <f t="shared" si="8"/>
        <v>0</v>
      </c>
      <c r="I83" s="11">
        <f t="shared" si="9"/>
        <v>-166400000</v>
      </c>
      <c r="J83" s="53">
        <f t="shared" si="10"/>
        <v>0</v>
      </c>
      <c r="K83" s="53">
        <f t="shared" si="11"/>
        <v>-166400000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829</v>
      </c>
      <c r="H84" s="36">
        <f t="shared" si="8"/>
        <v>1</v>
      </c>
      <c r="I84" s="11">
        <f t="shared" si="9"/>
        <v>1353945600</v>
      </c>
      <c r="J84" s="53">
        <f t="shared" si="10"/>
        <v>0</v>
      </c>
      <c r="K84" s="53">
        <f t="shared" si="11"/>
        <v>1353945600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825</v>
      </c>
      <c r="H85" s="36">
        <f t="shared" si="8"/>
        <v>1</v>
      </c>
      <c r="I85" s="11">
        <f t="shared" si="9"/>
        <v>2060000000</v>
      </c>
      <c r="J85" s="53">
        <f t="shared" si="10"/>
        <v>0</v>
      </c>
      <c r="K85" s="53">
        <f t="shared" si="11"/>
        <v>2060000000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821</v>
      </c>
      <c r="H86" s="36">
        <f t="shared" si="8"/>
        <v>1</v>
      </c>
      <c r="I86" s="11">
        <f t="shared" si="9"/>
        <v>152766000</v>
      </c>
      <c r="J86" s="53">
        <f t="shared" si="10"/>
        <v>69659000</v>
      </c>
      <c r="K86" s="53">
        <f t="shared" si="11"/>
        <v>83107000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818</v>
      </c>
      <c r="H87" s="36">
        <f t="shared" si="8"/>
        <v>0</v>
      </c>
      <c r="I87" s="11">
        <f t="shared" si="9"/>
        <v>-163600000</v>
      </c>
      <c r="J87" s="53">
        <f t="shared" si="10"/>
        <v>0</v>
      </c>
      <c r="K87" s="53">
        <f t="shared" si="11"/>
        <v>-163600000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817</v>
      </c>
      <c r="H88" s="36">
        <f t="shared" si="8"/>
        <v>0</v>
      </c>
      <c r="I88" s="11">
        <f t="shared" si="9"/>
        <v>-96406000</v>
      </c>
      <c r="J88" s="53">
        <f t="shared" si="10"/>
        <v>-56373000</v>
      </c>
      <c r="K88" s="53">
        <f t="shared" si="11"/>
        <v>-40033000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809</v>
      </c>
      <c r="H89" s="36">
        <f t="shared" si="8"/>
        <v>0</v>
      </c>
      <c r="I89" s="11">
        <f t="shared" si="9"/>
        <v>-2589528100</v>
      </c>
      <c r="J89" s="53">
        <f t="shared" si="10"/>
        <v>0</v>
      </c>
      <c r="K89" s="53">
        <f t="shared" si="11"/>
        <v>-2589528100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808</v>
      </c>
      <c r="H90" s="36">
        <f t="shared" si="8"/>
        <v>0</v>
      </c>
      <c r="I90" s="11">
        <f t="shared" si="9"/>
        <v>-2586327200</v>
      </c>
      <c r="J90" s="53">
        <f t="shared" si="10"/>
        <v>0</v>
      </c>
      <c r="K90" s="53">
        <f t="shared" si="11"/>
        <v>-2586327200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807</v>
      </c>
      <c r="H91" s="36">
        <f t="shared" si="8"/>
        <v>0</v>
      </c>
      <c r="I91" s="11">
        <f t="shared" si="9"/>
        <v>-2583126300</v>
      </c>
      <c r="J91" s="53">
        <f t="shared" si="10"/>
        <v>0</v>
      </c>
      <c r="K91" s="53">
        <f t="shared" si="11"/>
        <v>-2583126300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806</v>
      </c>
      <c r="H92" s="36">
        <f t="shared" si="8"/>
        <v>0</v>
      </c>
      <c r="I92" s="11">
        <f t="shared" si="9"/>
        <v>-2579925400</v>
      </c>
      <c r="J92" s="53">
        <f t="shared" si="10"/>
        <v>0</v>
      </c>
      <c r="K92" s="53">
        <f t="shared" si="11"/>
        <v>-2579925400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805</v>
      </c>
      <c r="H93" s="36">
        <f t="shared" si="8"/>
        <v>0</v>
      </c>
      <c r="I93" s="11">
        <f t="shared" si="9"/>
        <v>-2576724500</v>
      </c>
      <c r="J93" s="53">
        <f t="shared" si="10"/>
        <v>0</v>
      </c>
      <c r="K93" s="53">
        <f t="shared" si="11"/>
        <v>-2576724500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804</v>
      </c>
      <c r="H94" s="36">
        <f t="shared" si="8"/>
        <v>0</v>
      </c>
      <c r="I94" s="11">
        <f t="shared" si="9"/>
        <v>-2573523600</v>
      </c>
      <c r="J94" s="53">
        <f t="shared" si="10"/>
        <v>0</v>
      </c>
      <c r="K94" s="53">
        <f t="shared" si="11"/>
        <v>-2573523600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802</v>
      </c>
      <c r="H95" s="36">
        <f t="shared" si="8"/>
        <v>0</v>
      </c>
      <c r="I95" s="11">
        <f t="shared" si="9"/>
        <v>-959669992</v>
      </c>
      <c r="J95" s="53">
        <f t="shared" si="10"/>
        <v>0</v>
      </c>
      <c r="K95" s="53">
        <f t="shared" si="11"/>
        <v>-959669992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792</v>
      </c>
      <c r="H96" s="36">
        <f t="shared" si="8"/>
        <v>0</v>
      </c>
      <c r="I96" s="11">
        <f t="shared" si="9"/>
        <v>-158400000</v>
      </c>
      <c r="J96" s="53">
        <f t="shared" si="10"/>
        <v>0</v>
      </c>
      <c r="K96" s="53">
        <f t="shared" si="11"/>
        <v>-158400000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791</v>
      </c>
      <c r="H97" s="36">
        <f t="shared" si="8"/>
        <v>1</v>
      </c>
      <c r="I97" s="11">
        <f t="shared" si="9"/>
        <v>126050820</v>
      </c>
      <c r="J97" s="53">
        <f t="shared" si="10"/>
        <v>54451540</v>
      </c>
      <c r="K97" s="53">
        <f t="shared" si="11"/>
        <v>71599280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786</v>
      </c>
      <c r="H98" s="36">
        <f t="shared" si="8"/>
        <v>1</v>
      </c>
      <c r="I98" s="11">
        <f t="shared" si="9"/>
        <v>89778880</v>
      </c>
      <c r="J98" s="53">
        <f t="shared" si="10"/>
        <v>0</v>
      </c>
      <c r="K98" s="53">
        <f t="shared" si="11"/>
        <v>89778880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783</v>
      </c>
      <c r="H99" s="36">
        <f t="shared" si="8"/>
        <v>0</v>
      </c>
      <c r="I99" s="11">
        <f t="shared" si="9"/>
        <v>-1037475000</v>
      </c>
      <c r="J99" s="53">
        <f t="shared" si="10"/>
        <v>0</v>
      </c>
      <c r="K99" s="53">
        <f t="shared" si="11"/>
        <v>-1037475000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778</v>
      </c>
      <c r="H100" s="36">
        <f t="shared" si="8"/>
        <v>1</v>
      </c>
      <c r="I100" s="11">
        <f t="shared" si="9"/>
        <v>1029525000</v>
      </c>
      <c r="J100" s="53">
        <f t="shared" si="10"/>
        <v>0</v>
      </c>
      <c r="K100" s="53">
        <f t="shared" si="11"/>
        <v>1029525000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761</v>
      </c>
      <c r="H101" s="36">
        <f t="shared" si="8"/>
        <v>1</v>
      </c>
      <c r="I101" s="11">
        <f t="shared" si="9"/>
        <v>50802200</v>
      </c>
      <c r="J101" s="53">
        <f t="shared" si="10"/>
        <v>50802200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758</v>
      </c>
      <c r="H102" s="36">
        <f t="shared" si="8"/>
        <v>1</v>
      </c>
      <c r="I102" s="11">
        <f t="shared" si="9"/>
        <v>2271000000</v>
      </c>
      <c r="J102" s="53">
        <f t="shared" si="10"/>
        <v>0</v>
      </c>
      <c r="K102" s="53">
        <f t="shared" si="11"/>
        <v>2271000000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751</v>
      </c>
      <c r="H103" s="36">
        <f t="shared" si="8"/>
        <v>0</v>
      </c>
      <c r="I103" s="11">
        <f t="shared" si="9"/>
        <v>-751000000</v>
      </c>
      <c r="J103" s="53">
        <f t="shared" si="10"/>
        <v>-751000000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741</v>
      </c>
      <c r="H104" s="36">
        <f t="shared" si="8"/>
        <v>1</v>
      </c>
      <c r="I104" s="11">
        <f t="shared" si="9"/>
        <v>2220000000</v>
      </c>
      <c r="J104" s="53">
        <f t="shared" si="10"/>
        <v>2220000000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740</v>
      </c>
      <c r="H105" s="36">
        <f t="shared" si="8"/>
        <v>1</v>
      </c>
      <c r="I105" s="11">
        <f t="shared" si="9"/>
        <v>827680000</v>
      </c>
      <c r="J105" s="53">
        <f t="shared" si="10"/>
        <v>827680000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740</v>
      </c>
      <c r="H106" s="36">
        <f t="shared" si="8"/>
        <v>0</v>
      </c>
      <c r="I106" s="11">
        <f t="shared" si="9"/>
        <v>-2220000000</v>
      </c>
      <c r="J106" s="53">
        <f t="shared" si="10"/>
        <v>0</v>
      </c>
      <c r="K106" s="53">
        <f t="shared" si="11"/>
        <v>-2220000000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731</v>
      </c>
      <c r="H107" s="36">
        <f t="shared" si="8"/>
        <v>1</v>
      </c>
      <c r="I107" s="11">
        <f t="shared" si="9"/>
        <v>66060620</v>
      </c>
      <c r="J107" s="53">
        <f t="shared" si="10"/>
        <v>54833950</v>
      </c>
      <c r="K107" s="53">
        <f t="shared" si="11"/>
        <v>11226670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729</v>
      </c>
      <c r="H108" s="36">
        <f t="shared" si="8"/>
        <v>0</v>
      </c>
      <c r="I108" s="11">
        <f t="shared" si="9"/>
        <v>-1239810300</v>
      </c>
      <c r="J108" s="53">
        <f t="shared" si="10"/>
        <v>0</v>
      </c>
      <c r="K108" s="53">
        <f t="shared" si="11"/>
        <v>-1239810300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725</v>
      </c>
      <c r="H109" s="36">
        <f t="shared" si="8"/>
        <v>0</v>
      </c>
      <c r="I109" s="11">
        <f t="shared" si="9"/>
        <v>-725362500</v>
      </c>
      <c r="J109" s="53">
        <f t="shared" si="10"/>
        <v>0</v>
      </c>
      <c r="K109" s="53">
        <f t="shared" si="11"/>
        <v>-725362500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722</v>
      </c>
      <c r="H110" s="36">
        <f t="shared" si="8"/>
        <v>1</v>
      </c>
      <c r="I110" s="11">
        <f t="shared" si="9"/>
        <v>14420000000</v>
      </c>
      <c r="J110" s="53">
        <f t="shared" si="10"/>
        <v>0</v>
      </c>
      <c r="K110" s="53">
        <f t="shared" si="11"/>
        <v>14420000000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702</v>
      </c>
      <c r="H111" s="36">
        <f t="shared" si="8"/>
        <v>1</v>
      </c>
      <c r="I111" s="11">
        <f t="shared" si="9"/>
        <v>122449278</v>
      </c>
      <c r="J111" s="53">
        <f t="shared" si="10"/>
        <v>61241463</v>
      </c>
      <c r="K111" s="53">
        <f t="shared" si="11"/>
        <v>61207815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686</v>
      </c>
      <c r="H112" s="36">
        <f t="shared" si="8"/>
        <v>0</v>
      </c>
      <c r="I112" s="11">
        <f t="shared" si="9"/>
        <v>-19482400000</v>
      </c>
      <c r="J112" s="53">
        <f t="shared" si="10"/>
        <v>0</v>
      </c>
      <c r="K112" s="53">
        <f t="shared" si="11"/>
        <v>-19482400000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671</v>
      </c>
      <c r="H113" s="36">
        <f t="shared" si="8"/>
        <v>1</v>
      </c>
      <c r="I113" s="11">
        <f t="shared" si="9"/>
        <v>109236800</v>
      </c>
      <c r="J113" s="53">
        <f t="shared" si="10"/>
        <v>82082370</v>
      </c>
      <c r="K113" s="53">
        <f t="shared" si="11"/>
        <v>27154430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671</v>
      </c>
      <c r="H114" s="36">
        <f t="shared" si="8"/>
        <v>0</v>
      </c>
      <c r="I114" s="11">
        <f t="shared" si="9"/>
        <v>-3824700</v>
      </c>
      <c r="J114" s="53">
        <f t="shared" si="10"/>
        <v>-1677500</v>
      </c>
      <c r="K114" s="53">
        <f t="shared" si="11"/>
        <v>-2147200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658</v>
      </c>
      <c r="H115" s="36">
        <f t="shared" si="8"/>
        <v>0</v>
      </c>
      <c r="I115" s="11">
        <f t="shared" si="9"/>
        <v>0</v>
      </c>
      <c r="J115" s="53">
        <f t="shared" si="10"/>
        <v>329000000</v>
      </c>
      <c r="K115" s="53">
        <f t="shared" si="11"/>
        <v>-329000000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650</v>
      </c>
      <c r="H116" s="36">
        <f t="shared" si="8"/>
        <v>0</v>
      </c>
      <c r="I116" s="11">
        <f t="shared" si="9"/>
        <v>-104000000</v>
      </c>
      <c r="J116" s="53">
        <f t="shared" si="10"/>
        <v>0</v>
      </c>
      <c r="K116" s="53">
        <f t="shared" si="11"/>
        <v>-104000000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641</v>
      </c>
      <c r="H117" s="36">
        <f t="shared" si="8"/>
        <v>1</v>
      </c>
      <c r="I117" s="11">
        <f t="shared" si="9"/>
        <v>947200</v>
      </c>
      <c r="J117" s="53">
        <f t="shared" si="10"/>
        <v>68442240</v>
      </c>
      <c r="K117" s="53">
        <f t="shared" si="11"/>
        <v>-67495040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619</v>
      </c>
      <c r="H118" s="36">
        <f t="shared" si="8"/>
        <v>1</v>
      </c>
      <c r="I118" s="11">
        <f t="shared" si="9"/>
        <v>24348891000</v>
      </c>
      <c r="J118" s="53">
        <f t="shared" si="10"/>
        <v>0</v>
      </c>
      <c r="K118" s="53">
        <f t="shared" si="11"/>
        <v>24348891000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610</v>
      </c>
      <c r="H119" s="36">
        <f t="shared" si="8"/>
        <v>1</v>
      </c>
      <c r="I119" s="11">
        <f t="shared" si="9"/>
        <v>58172289</v>
      </c>
      <c r="J119" s="53">
        <f t="shared" si="10"/>
        <v>67022886</v>
      </c>
      <c r="K119" s="53">
        <f t="shared" si="11"/>
        <v>-8850597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606</v>
      </c>
      <c r="H120" s="11">
        <f t="shared" si="8"/>
        <v>1</v>
      </c>
      <c r="I120" s="11">
        <f t="shared" ref="I120:I296" si="13">B120*(G120-H120)</f>
        <v>1210000000</v>
      </c>
      <c r="J120" s="11">
        <f t="shared" si="10"/>
        <v>0</v>
      </c>
      <c r="K120" s="11">
        <f t="shared" si="11"/>
        <v>1210000000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580</v>
      </c>
      <c r="H121" s="11">
        <f t="shared" si="8"/>
        <v>1</v>
      </c>
      <c r="I121" s="11">
        <f t="shared" si="13"/>
        <v>1505400000</v>
      </c>
      <c r="J121" s="11">
        <f t="shared" si="10"/>
        <v>0</v>
      </c>
      <c r="K121" s="11">
        <f t="shared" si="11"/>
        <v>1505400000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579</v>
      </c>
      <c r="H122" s="11">
        <f t="shared" si="8"/>
        <v>1</v>
      </c>
      <c r="I122" s="11">
        <f t="shared" si="13"/>
        <v>222270478</v>
      </c>
      <c r="J122" s="11">
        <f t="shared" si="10"/>
        <v>64104824</v>
      </c>
      <c r="K122" s="11">
        <f t="shared" si="11"/>
        <v>158165654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578</v>
      </c>
      <c r="H123" s="11">
        <f t="shared" si="8"/>
        <v>0</v>
      </c>
      <c r="I123" s="11">
        <f t="shared" si="13"/>
        <v>0</v>
      </c>
      <c r="J123" s="11">
        <f t="shared" si="10"/>
        <v>462400000</v>
      </c>
      <c r="K123" s="11">
        <f t="shared" si="11"/>
        <v>-462400000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564</v>
      </c>
      <c r="H124" s="11">
        <f t="shared" si="8"/>
        <v>0</v>
      </c>
      <c r="I124" s="11">
        <f t="shared" si="13"/>
        <v>-1692000000</v>
      </c>
      <c r="J124" s="11">
        <f t="shared" si="10"/>
        <v>0</v>
      </c>
      <c r="K124" s="11">
        <f t="shared" si="11"/>
        <v>-1692000000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549</v>
      </c>
      <c r="H125" s="11">
        <f t="shared" si="8"/>
        <v>1</v>
      </c>
      <c r="I125" s="11">
        <f t="shared" si="13"/>
        <v>219589080</v>
      </c>
      <c r="J125" s="11">
        <f t="shared" si="10"/>
        <v>65143500</v>
      </c>
      <c r="K125" s="11">
        <f t="shared" si="11"/>
        <v>154445580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549</v>
      </c>
      <c r="H126" s="11">
        <f t="shared" si="8"/>
        <v>1</v>
      </c>
      <c r="I126" s="11">
        <f t="shared" si="13"/>
        <v>23016000000</v>
      </c>
      <c r="J126" s="11">
        <f t="shared" si="10"/>
        <v>0</v>
      </c>
      <c r="K126" s="11">
        <f t="shared" si="11"/>
        <v>23016000000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524</v>
      </c>
      <c r="H127" s="11">
        <f t="shared" si="8"/>
        <v>0</v>
      </c>
      <c r="I127" s="11">
        <f t="shared" si="13"/>
        <v>-2620000</v>
      </c>
      <c r="J127" s="11">
        <f t="shared" si="10"/>
        <v>0</v>
      </c>
      <c r="K127" s="11">
        <f t="shared" si="11"/>
        <v>-2620000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518</v>
      </c>
      <c r="H128" s="11">
        <f t="shared" si="8"/>
        <v>1</v>
      </c>
      <c r="I128" s="11">
        <f t="shared" si="13"/>
        <v>398800358</v>
      </c>
      <c r="J128" s="11">
        <f t="shared" si="10"/>
        <v>62400349</v>
      </c>
      <c r="K128" s="11">
        <f t="shared" si="11"/>
        <v>336400009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515</v>
      </c>
      <c r="H129" s="11">
        <f t="shared" si="8"/>
        <v>1</v>
      </c>
      <c r="I129" s="11">
        <f t="shared" si="13"/>
        <v>1285000000</v>
      </c>
      <c r="J129" s="11">
        <f t="shared" si="10"/>
        <v>0</v>
      </c>
      <c r="K129" s="11">
        <f t="shared" si="11"/>
        <v>1285000000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501</v>
      </c>
      <c r="H130" s="11">
        <f t="shared" si="8"/>
        <v>0</v>
      </c>
      <c r="I130" s="11">
        <f t="shared" si="13"/>
        <v>-501000000</v>
      </c>
      <c r="J130" s="11">
        <f t="shared" si="10"/>
        <v>-501000000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496</v>
      </c>
      <c r="H131" s="11">
        <f t="shared" si="8"/>
        <v>0</v>
      </c>
      <c r="I131" s="11">
        <f t="shared" si="13"/>
        <v>-24800000000</v>
      </c>
      <c r="J131" s="11">
        <f t="shared" si="10"/>
        <v>0</v>
      </c>
      <c r="K131" s="11">
        <f t="shared" si="11"/>
        <v>-24800000000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488</v>
      </c>
      <c r="H132" s="11">
        <f t="shared" ref="H132:H308" si="15">IF(B132&gt;0,1,0)</f>
        <v>1</v>
      </c>
      <c r="I132" s="11">
        <f t="shared" si="13"/>
        <v>299157769</v>
      </c>
      <c r="J132" s="11">
        <f t="shared" ref="J132:J206" si="16">C132*(G132-H132)</f>
        <v>51607877</v>
      </c>
      <c r="K132" s="11">
        <f t="shared" ref="K132:K281" si="17">D132*(G132-H132)</f>
        <v>247549892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484</v>
      </c>
      <c r="H133" s="11">
        <f t="shared" si="15"/>
        <v>0</v>
      </c>
      <c r="I133" s="11">
        <f t="shared" si="13"/>
        <v>-585978800</v>
      </c>
      <c r="J133" s="11">
        <f t="shared" si="16"/>
        <v>0</v>
      </c>
      <c r="K133" s="11">
        <f t="shared" si="17"/>
        <v>-585978800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475</v>
      </c>
      <c r="H134" s="11">
        <f t="shared" si="15"/>
        <v>0</v>
      </c>
      <c r="I134" s="11">
        <f t="shared" si="13"/>
        <v>-30875000</v>
      </c>
      <c r="J134" s="11">
        <f t="shared" si="16"/>
        <v>0</v>
      </c>
      <c r="K134" s="11">
        <f t="shared" si="17"/>
        <v>-30875000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475</v>
      </c>
      <c r="H135" s="11">
        <f t="shared" si="15"/>
        <v>0</v>
      </c>
      <c r="I135" s="11">
        <f t="shared" si="13"/>
        <v>-15342500</v>
      </c>
      <c r="J135" s="11">
        <f t="shared" si="16"/>
        <v>0</v>
      </c>
      <c r="K135" s="11">
        <f t="shared" si="17"/>
        <v>-15342500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467</v>
      </c>
      <c r="H136" s="11">
        <f t="shared" si="15"/>
        <v>0</v>
      </c>
      <c r="I136" s="11">
        <f t="shared" si="13"/>
        <v>-467000000</v>
      </c>
      <c r="J136" s="11">
        <f t="shared" si="16"/>
        <v>-467000000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458</v>
      </c>
      <c r="H137" s="11">
        <f t="shared" si="15"/>
        <v>1</v>
      </c>
      <c r="I137" s="11">
        <f t="shared" si="13"/>
        <v>132928961</v>
      </c>
      <c r="J137" s="11">
        <f t="shared" si="16"/>
        <v>44493063</v>
      </c>
      <c r="K137" s="11">
        <f t="shared" si="17"/>
        <v>88435898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441</v>
      </c>
      <c r="H138" s="11">
        <f t="shared" si="15"/>
        <v>0</v>
      </c>
      <c r="I138" s="11">
        <f t="shared" si="13"/>
        <v>-441220500</v>
      </c>
      <c r="J138" s="11">
        <f t="shared" si="16"/>
        <v>-441220500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429</v>
      </c>
      <c r="H139" s="11">
        <f t="shared" si="15"/>
        <v>1</v>
      </c>
      <c r="I139" s="11">
        <f t="shared" si="13"/>
        <v>120798720</v>
      </c>
      <c r="J139" s="11">
        <f t="shared" si="16"/>
        <v>38009396</v>
      </c>
      <c r="K139" s="11">
        <f t="shared" si="17"/>
        <v>82789324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426</v>
      </c>
      <c r="H140" s="11">
        <f t="shared" si="15"/>
        <v>1</v>
      </c>
      <c r="I140" s="11">
        <f t="shared" si="13"/>
        <v>637500000</v>
      </c>
      <c r="J140" s="11">
        <f t="shared" si="16"/>
        <v>0</v>
      </c>
      <c r="K140" s="11">
        <f t="shared" si="17"/>
        <v>637500000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413</v>
      </c>
      <c r="H141" s="11">
        <f t="shared" si="15"/>
        <v>0</v>
      </c>
      <c r="I141" s="11">
        <f t="shared" si="13"/>
        <v>0</v>
      </c>
      <c r="J141" s="11">
        <f t="shared" si="16"/>
        <v>-413000000</v>
      </c>
      <c r="K141" s="11">
        <f t="shared" si="17"/>
        <v>413000000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399</v>
      </c>
      <c r="H142" s="11">
        <f t="shared" si="15"/>
        <v>1</v>
      </c>
      <c r="I142" s="11">
        <f t="shared" si="13"/>
        <v>115775414</v>
      </c>
      <c r="J142" s="11">
        <f t="shared" si="16"/>
        <v>32246756</v>
      </c>
      <c r="K142" s="11">
        <f t="shared" si="17"/>
        <v>83528658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379</v>
      </c>
      <c r="H143" s="11">
        <f t="shared" si="15"/>
        <v>0</v>
      </c>
      <c r="I143" s="11">
        <f t="shared" si="13"/>
        <v>0</v>
      </c>
      <c r="J143" s="11">
        <f t="shared" si="16"/>
        <v>-379000000</v>
      </c>
      <c r="K143" s="11">
        <f t="shared" si="17"/>
        <v>379000000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369</v>
      </c>
      <c r="H144" s="11">
        <f t="shared" si="15"/>
        <v>1</v>
      </c>
      <c r="I144" s="11">
        <f t="shared" si="13"/>
        <v>108505536</v>
      </c>
      <c r="J144" s="11">
        <f t="shared" si="16"/>
        <v>27473776</v>
      </c>
      <c r="K144" s="11">
        <f t="shared" si="17"/>
        <v>81031760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354</v>
      </c>
      <c r="H145" s="11">
        <f t="shared" si="15"/>
        <v>0</v>
      </c>
      <c r="I145" s="11">
        <f t="shared" si="13"/>
        <v>-3540000</v>
      </c>
      <c r="J145" s="11">
        <f t="shared" si="16"/>
        <v>-1770000</v>
      </c>
      <c r="K145" s="11">
        <f t="shared" si="17"/>
        <v>-1770000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349</v>
      </c>
      <c r="H146" s="11">
        <f t="shared" si="15"/>
        <v>0</v>
      </c>
      <c r="I146" s="11">
        <f t="shared" si="13"/>
        <v>-349174500</v>
      </c>
      <c r="J146" s="11">
        <f t="shared" si="16"/>
        <v>-349174500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343</v>
      </c>
      <c r="H147" s="11">
        <f t="shared" si="15"/>
        <v>0</v>
      </c>
      <c r="I147" s="11">
        <f t="shared" si="13"/>
        <v>-9261000000</v>
      </c>
      <c r="J147" s="11">
        <f t="shared" si="16"/>
        <v>0</v>
      </c>
      <c r="K147" s="11">
        <f t="shared" si="17"/>
        <v>-9261000000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340</v>
      </c>
      <c r="H148" s="11">
        <f t="shared" si="15"/>
        <v>1</v>
      </c>
      <c r="I148" s="11">
        <f t="shared" si="13"/>
        <v>85575804</v>
      </c>
      <c r="J148" s="11">
        <f t="shared" si="16"/>
        <v>22207890</v>
      </c>
      <c r="K148" s="11">
        <f t="shared" si="17"/>
        <v>63367914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332</v>
      </c>
      <c r="H149" s="11">
        <f t="shared" si="15"/>
        <v>1</v>
      </c>
      <c r="I149" s="11">
        <f t="shared" si="13"/>
        <v>17344400000</v>
      </c>
      <c r="J149" s="11">
        <f t="shared" si="16"/>
        <v>0</v>
      </c>
      <c r="K149" s="11">
        <f t="shared" si="17"/>
        <v>17344400000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325</v>
      </c>
      <c r="H150" s="11">
        <f t="shared" si="15"/>
        <v>0</v>
      </c>
      <c r="I150" s="11">
        <f t="shared" si="13"/>
        <v>-16900000000</v>
      </c>
      <c r="J150" s="11">
        <f t="shared" si="16"/>
        <v>0</v>
      </c>
      <c r="K150" s="11">
        <f t="shared" si="17"/>
        <v>-16900000000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320</v>
      </c>
      <c r="H151" s="99">
        <f t="shared" si="15"/>
        <v>0</v>
      </c>
      <c r="I151" s="99">
        <f t="shared" si="13"/>
        <v>-2560000000</v>
      </c>
      <c r="J151" s="99">
        <f t="shared" si="16"/>
        <v>-2167081920</v>
      </c>
      <c r="K151" s="11">
        <f t="shared" si="17"/>
        <v>-392918080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320</v>
      </c>
      <c r="H152" s="99">
        <f t="shared" si="15"/>
        <v>0</v>
      </c>
      <c r="I152" s="99">
        <f t="shared" si="13"/>
        <v>-9993600</v>
      </c>
      <c r="J152" s="99">
        <f t="shared" si="16"/>
        <v>0</v>
      </c>
      <c r="K152" s="99">
        <f t="shared" si="17"/>
        <v>-9993600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309</v>
      </c>
      <c r="H153" s="99">
        <f t="shared" si="15"/>
        <v>1</v>
      </c>
      <c r="I153" s="99">
        <f t="shared" si="13"/>
        <v>41606796</v>
      </c>
      <c r="J153" s="99">
        <f t="shared" si="16"/>
        <v>12668040</v>
      </c>
      <c r="K153" s="99">
        <f t="shared" si="17"/>
        <v>28938756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306</v>
      </c>
      <c r="H154" s="99">
        <f t="shared" si="15"/>
        <v>1</v>
      </c>
      <c r="I154" s="99">
        <f t="shared" si="13"/>
        <v>2081345010</v>
      </c>
      <c r="J154" s="99">
        <f t="shared" si="16"/>
        <v>2081345010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301</v>
      </c>
      <c r="H155" s="99">
        <f t="shared" si="15"/>
        <v>0</v>
      </c>
      <c r="I155" s="99">
        <f t="shared" si="13"/>
        <v>-60200000</v>
      </c>
      <c r="J155" s="99">
        <f t="shared" si="16"/>
        <v>0</v>
      </c>
      <c r="K155" s="99">
        <f t="shared" si="17"/>
        <v>-60200000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301</v>
      </c>
      <c r="H156" s="99">
        <f t="shared" si="15"/>
        <v>0</v>
      </c>
      <c r="I156" s="99">
        <f t="shared" si="13"/>
        <v>-74599840</v>
      </c>
      <c r="J156" s="99">
        <f t="shared" si="16"/>
        <v>0</v>
      </c>
      <c r="K156" s="99">
        <f t="shared" si="17"/>
        <v>-74599840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300</v>
      </c>
      <c r="H157" s="99">
        <f t="shared" si="15"/>
        <v>0</v>
      </c>
      <c r="I157" s="99">
        <f t="shared" si="13"/>
        <v>-48702000</v>
      </c>
      <c r="J157" s="99">
        <f t="shared" si="16"/>
        <v>0</v>
      </c>
      <c r="K157" s="99">
        <f t="shared" si="17"/>
        <v>-48702000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300</v>
      </c>
      <c r="H158" s="99">
        <f t="shared" si="15"/>
        <v>0</v>
      </c>
      <c r="I158" s="99">
        <f t="shared" si="13"/>
        <v>-900270000</v>
      </c>
      <c r="J158" s="99">
        <f t="shared" si="16"/>
        <v>0</v>
      </c>
      <c r="K158" s="99">
        <f t="shared" si="17"/>
        <v>-900270000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298</v>
      </c>
      <c r="H159" s="99">
        <f t="shared" si="15"/>
        <v>0</v>
      </c>
      <c r="I159" s="99">
        <f t="shared" si="13"/>
        <v>-298149000</v>
      </c>
      <c r="J159" s="99">
        <f t="shared" si="16"/>
        <v>0</v>
      </c>
      <c r="K159" s="99">
        <f t="shared" si="17"/>
        <v>-298149000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294</v>
      </c>
      <c r="H160" s="99">
        <f t="shared" si="15"/>
        <v>0</v>
      </c>
      <c r="I160" s="99">
        <f t="shared" si="13"/>
        <v>-29400000</v>
      </c>
      <c r="J160" s="99">
        <f t="shared" si="16"/>
        <v>0</v>
      </c>
      <c r="K160" s="99">
        <f t="shared" si="17"/>
        <v>-29400000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293</v>
      </c>
      <c r="H161" s="99">
        <f t="shared" si="15"/>
        <v>0</v>
      </c>
      <c r="I161" s="99">
        <f t="shared" si="13"/>
        <v>-586000000</v>
      </c>
      <c r="J161" s="99">
        <f t="shared" si="16"/>
        <v>0</v>
      </c>
      <c r="K161" s="99">
        <f t="shared" si="17"/>
        <v>-586000000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293</v>
      </c>
      <c r="H162" s="99">
        <f t="shared" si="15"/>
        <v>0</v>
      </c>
      <c r="I162" s="99">
        <f t="shared" si="13"/>
        <v>-293146500</v>
      </c>
      <c r="J162" s="99">
        <f t="shared" si="16"/>
        <v>0</v>
      </c>
      <c r="K162" s="99">
        <f t="shared" si="17"/>
        <v>-293146500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290</v>
      </c>
      <c r="H163" s="99">
        <f t="shared" si="15"/>
        <v>0</v>
      </c>
      <c r="I163" s="99">
        <f t="shared" si="13"/>
        <v>-1450000</v>
      </c>
      <c r="J163" s="99">
        <f t="shared" si="16"/>
        <v>0</v>
      </c>
      <c r="K163" s="99">
        <f t="shared" si="17"/>
        <v>-1450000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280</v>
      </c>
      <c r="H164" s="99">
        <f t="shared" si="15"/>
        <v>1</v>
      </c>
      <c r="I164" s="99">
        <f t="shared" si="13"/>
        <v>837000000</v>
      </c>
      <c r="J164" s="99">
        <f t="shared" si="16"/>
        <v>0</v>
      </c>
      <c r="K164" s="99">
        <f t="shared" si="17"/>
        <v>837000000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279</v>
      </c>
      <c r="H165" s="99">
        <f t="shared" si="15"/>
        <v>1</v>
      </c>
      <c r="I165" s="99">
        <f t="shared" si="13"/>
        <v>834000000</v>
      </c>
      <c r="J165" s="99">
        <f t="shared" si="16"/>
        <v>0</v>
      </c>
      <c r="K165" s="99">
        <f t="shared" si="17"/>
        <v>834000000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278</v>
      </c>
      <c r="H166" s="99">
        <f t="shared" si="15"/>
        <v>1</v>
      </c>
      <c r="I166" s="99">
        <f t="shared" si="13"/>
        <v>5626978</v>
      </c>
      <c r="J166" s="99">
        <f t="shared" si="16"/>
        <v>16576234</v>
      </c>
      <c r="K166" s="99">
        <f t="shared" si="17"/>
        <v>-10949256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273</v>
      </c>
      <c r="H167" s="99">
        <f t="shared" si="15"/>
        <v>0</v>
      </c>
      <c r="I167" s="99">
        <f t="shared" si="13"/>
        <v>-819245700</v>
      </c>
      <c r="J167" s="99">
        <f t="shared" si="16"/>
        <v>0</v>
      </c>
      <c r="K167" s="99">
        <f t="shared" si="17"/>
        <v>-819245700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255</v>
      </c>
      <c r="H168" s="99">
        <f t="shared" si="15"/>
        <v>0</v>
      </c>
      <c r="I168" s="99">
        <f t="shared" si="13"/>
        <v>-765229500</v>
      </c>
      <c r="J168" s="99">
        <f t="shared" si="16"/>
        <v>0</v>
      </c>
      <c r="K168" s="99">
        <f t="shared" si="17"/>
        <v>-765229500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247</v>
      </c>
      <c r="H169" s="99">
        <f t="shared" si="15"/>
        <v>1</v>
      </c>
      <c r="I169" s="99">
        <f t="shared" si="13"/>
        <v>5339430</v>
      </c>
      <c r="J169" s="99">
        <f t="shared" si="16"/>
        <v>16854690</v>
      </c>
      <c r="K169" s="99">
        <f t="shared" si="17"/>
        <v>-11515260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223</v>
      </c>
      <c r="H170" s="99">
        <f t="shared" si="15"/>
        <v>1</v>
      </c>
      <c r="I170" s="99">
        <f t="shared" si="13"/>
        <v>1110000000</v>
      </c>
      <c r="J170" s="99">
        <f t="shared" si="16"/>
        <v>0</v>
      </c>
      <c r="K170" s="99">
        <f t="shared" si="17"/>
        <v>1110000000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222</v>
      </c>
      <c r="H171" s="99">
        <f t="shared" si="15"/>
        <v>0</v>
      </c>
      <c r="I171" s="99">
        <f t="shared" si="13"/>
        <v>-1110000000</v>
      </c>
      <c r="J171" s="99">
        <f t="shared" si="16"/>
        <v>0</v>
      </c>
      <c r="K171" s="99">
        <f t="shared" si="17"/>
        <v>-1110000000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216</v>
      </c>
      <c r="H172" s="99">
        <f t="shared" si="15"/>
        <v>1</v>
      </c>
      <c r="I172" s="99">
        <f t="shared" si="13"/>
        <v>106640</v>
      </c>
      <c r="J172" s="99">
        <f t="shared" si="16"/>
        <v>13476415</v>
      </c>
      <c r="K172" s="99">
        <f t="shared" si="17"/>
        <v>-13369775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215</v>
      </c>
      <c r="H173" s="99">
        <f t="shared" si="15"/>
        <v>1</v>
      </c>
      <c r="I173" s="99">
        <f t="shared" si="13"/>
        <v>167990000</v>
      </c>
      <c r="J173" s="99">
        <f t="shared" si="16"/>
        <v>0</v>
      </c>
      <c r="K173" s="99">
        <f t="shared" si="17"/>
        <v>167990000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204</v>
      </c>
      <c r="H174" s="99">
        <f t="shared" si="15"/>
        <v>0</v>
      </c>
      <c r="I174" s="99">
        <f t="shared" si="13"/>
        <v>-6528000</v>
      </c>
      <c r="J174" s="99">
        <f t="shared" si="16"/>
        <v>0</v>
      </c>
      <c r="K174" s="99">
        <f t="shared" si="17"/>
        <v>-6528000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202</v>
      </c>
      <c r="H175" s="99">
        <f t="shared" si="15"/>
        <v>0</v>
      </c>
      <c r="I175" s="99">
        <f t="shared" si="13"/>
        <v>-151500000</v>
      </c>
      <c r="J175" s="99">
        <f t="shared" si="16"/>
        <v>0</v>
      </c>
      <c r="K175" s="99">
        <f t="shared" si="17"/>
        <v>-151500000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193</v>
      </c>
      <c r="H176" s="99">
        <f t="shared" si="15"/>
        <v>0</v>
      </c>
      <c r="I176" s="99">
        <f t="shared" si="13"/>
        <v>-1813428</v>
      </c>
      <c r="J176" s="99">
        <f t="shared" si="16"/>
        <v>0</v>
      </c>
      <c r="K176" s="99">
        <f t="shared" si="17"/>
        <v>-1813428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192</v>
      </c>
      <c r="H177" s="99">
        <f t="shared" si="15"/>
        <v>0</v>
      </c>
      <c r="I177" s="99">
        <f t="shared" si="13"/>
        <v>-8313600</v>
      </c>
      <c r="J177" s="99">
        <f t="shared" si="16"/>
        <v>0</v>
      </c>
      <c r="K177" s="99">
        <f t="shared" si="17"/>
        <v>-8313600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189</v>
      </c>
      <c r="H178" s="99">
        <f t="shared" si="15"/>
        <v>1</v>
      </c>
      <c r="I178" s="99">
        <f t="shared" si="13"/>
        <v>67680000</v>
      </c>
      <c r="J178" s="99">
        <f t="shared" si="16"/>
        <v>0</v>
      </c>
      <c r="K178" s="99">
        <f t="shared" si="17"/>
        <v>67680000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187</v>
      </c>
      <c r="H179" s="99">
        <f t="shared" si="15"/>
        <v>1</v>
      </c>
      <c r="I179" s="99">
        <f t="shared" si="13"/>
        <v>558000000</v>
      </c>
      <c r="J179" s="99">
        <f t="shared" si="16"/>
        <v>0</v>
      </c>
      <c r="K179" s="99">
        <f t="shared" si="17"/>
        <v>558000000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187</v>
      </c>
      <c r="H180" s="99">
        <f t="shared" si="15"/>
        <v>0</v>
      </c>
      <c r="I180" s="99">
        <f t="shared" si="13"/>
        <v>-2253350</v>
      </c>
      <c r="J180" s="99">
        <f t="shared" si="16"/>
        <v>0</v>
      </c>
      <c r="K180" s="99">
        <f t="shared" si="17"/>
        <v>-2253350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185</v>
      </c>
      <c r="H181" s="99">
        <f t="shared" si="15"/>
        <v>1</v>
      </c>
      <c r="I181" s="99">
        <f t="shared" si="13"/>
        <v>552000000</v>
      </c>
      <c r="J181" s="99">
        <f t="shared" si="16"/>
        <v>0</v>
      </c>
      <c r="K181" s="99">
        <f t="shared" si="17"/>
        <v>552000000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183</v>
      </c>
      <c r="H182" s="99">
        <f t="shared" si="15"/>
        <v>0</v>
      </c>
      <c r="I182" s="99">
        <f t="shared" si="13"/>
        <v>-6551400</v>
      </c>
      <c r="J182" s="99">
        <f t="shared" si="16"/>
        <v>0</v>
      </c>
      <c r="K182" s="99">
        <f t="shared" si="17"/>
        <v>-6551400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182</v>
      </c>
      <c r="H183" s="99">
        <f t="shared" si="15"/>
        <v>1</v>
      </c>
      <c r="I183" s="99">
        <f t="shared" si="13"/>
        <v>651600000</v>
      </c>
      <c r="J183" s="99">
        <f t="shared" si="16"/>
        <v>0</v>
      </c>
      <c r="K183" s="99">
        <f t="shared" si="17"/>
        <v>651600000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182</v>
      </c>
      <c r="H184" s="99">
        <f t="shared" si="15"/>
        <v>0</v>
      </c>
      <c r="I184" s="99">
        <f t="shared" si="13"/>
        <v>-6074614</v>
      </c>
      <c r="J184" s="99">
        <f t="shared" si="16"/>
        <v>0</v>
      </c>
      <c r="K184" s="99">
        <f t="shared" si="17"/>
        <v>-6074614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179</v>
      </c>
      <c r="H185" s="99">
        <f t="shared" si="15"/>
        <v>0</v>
      </c>
      <c r="I185" s="99">
        <f t="shared" si="13"/>
        <v>-1754200000</v>
      </c>
      <c r="J185" s="99">
        <f t="shared" si="16"/>
        <v>0</v>
      </c>
      <c r="K185" s="99">
        <f t="shared" si="17"/>
        <v>-1754200000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179</v>
      </c>
      <c r="H186" s="99">
        <f t="shared" si="15"/>
        <v>1</v>
      </c>
      <c r="I186" s="99">
        <f t="shared" si="13"/>
        <v>3204000000</v>
      </c>
      <c r="J186" s="99">
        <f t="shared" si="16"/>
        <v>0</v>
      </c>
      <c r="K186" s="99">
        <f t="shared" si="17"/>
        <v>3204000000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179</v>
      </c>
      <c r="H187" s="99">
        <f t="shared" si="15"/>
        <v>0</v>
      </c>
      <c r="I187" s="99">
        <f t="shared" si="13"/>
        <v>-1611000000</v>
      </c>
      <c r="J187" s="99">
        <f t="shared" si="16"/>
        <v>0</v>
      </c>
      <c r="K187" s="99">
        <f t="shared" si="17"/>
        <v>-1611000000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179</v>
      </c>
      <c r="H188" s="99">
        <f t="shared" si="15"/>
        <v>0</v>
      </c>
      <c r="I188" s="99">
        <f t="shared" si="13"/>
        <v>-2076400</v>
      </c>
      <c r="J188" s="99">
        <f t="shared" si="16"/>
        <v>0</v>
      </c>
      <c r="K188" s="99">
        <f t="shared" si="17"/>
        <v>-2076400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179</v>
      </c>
      <c r="H189" s="99">
        <f t="shared" si="15"/>
        <v>0</v>
      </c>
      <c r="I189" s="99">
        <f t="shared" si="13"/>
        <v>-591474533</v>
      </c>
      <c r="J189" s="99">
        <f t="shared" si="16"/>
        <v>0</v>
      </c>
      <c r="K189" s="99">
        <f t="shared" si="17"/>
        <v>-591474533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178</v>
      </c>
      <c r="H190" s="99">
        <f t="shared" si="15"/>
        <v>0</v>
      </c>
      <c r="I190" s="99">
        <f t="shared" si="13"/>
        <v>-534160200</v>
      </c>
      <c r="J190" s="99">
        <f t="shared" si="16"/>
        <v>0</v>
      </c>
      <c r="K190" s="99">
        <f t="shared" si="17"/>
        <v>-534160200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177</v>
      </c>
      <c r="H191" s="99">
        <f t="shared" si="15"/>
        <v>0</v>
      </c>
      <c r="I191" s="99">
        <f t="shared" si="13"/>
        <v>-488679300</v>
      </c>
      <c r="J191" s="99">
        <f t="shared" si="16"/>
        <v>0</v>
      </c>
      <c r="K191" s="99">
        <f t="shared" si="17"/>
        <v>-488679300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172</v>
      </c>
      <c r="H192" s="99">
        <f t="shared" si="15"/>
        <v>1</v>
      </c>
      <c r="I192" s="99">
        <f t="shared" si="13"/>
        <v>171000000</v>
      </c>
      <c r="J192" s="99">
        <f t="shared" si="16"/>
        <v>0</v>
      </c>
      <c r="K192" s="99">
        <f t="shared" si="17"/>
        <v>171000000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171</v>
      </c>
      <c r="H193" s="99">
        <f t="shared" si="15"/>
        <v>0</v>
      </c>
      <c r="I193" s="99">
        <f t="shared" si="13"/>
        <v>-2565000</v>
      </c>
      <c r="J193" s="99">
        <f t="shared" si="16"/>
        <v>0</v>
      </c>
      <c r="K193" s="99">
        <f t="shared" si="17"/>
        <v>-2565000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169</v>
      </c>
      <c r="H194" s="99">
        <f t="shared" si="15"/>
        <v>0</v>
      </c>
      <c r="I194" s="99">
        <f t="shared" si="13"/>
        <v>-167310000</v>
      </c>
      <c r="J194" s="99">
        <f t="shared" si="16"/>
        <v>0</v>
      </c>
      <c r="K194" s="99">
        <f t="shared" si="17"/>
        <v>-167310000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169</v>
      </c>
      <c r="H195" s="99">
        <f t="shared" si="15"/>
        <v>1</v>
      </c>
      <c r="I195" s="99">
        <f t="shared" si="13"/>
        <v>131544000</v>
      </c>
      <c r="J195" s="99">
        <f t="shared" si="16"/>
        <v>0</v>
      </c>
      <c r="K195" s="99">
        <f t="shared" si="17"/>
        <v>131544000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167</v>
      </c>
      <c r="H196" s="99">
        <f t="shared" si="15"/>
        <v>0</v>
      </c>
      <c r="I196" s="99">
        <f t="shared" si="13"/>
        <v>-125333500</v>
      </c>
      <c r="J196" s="99">
        <f t="shared" si="16"/>
        <v>0</v>
      </c>
      <c r="K196" s="99">
        <f t="shared" si="17"/>
        <v>-125333500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165</v>
      </c>
      <c r="H197" s="99">
        <f t="shared" si="15"/>
        <v>1</v>
      </c>
      <c r="I197" s="99">
        <f t="shared" si="13"/>
        <v>114800000</v>
      </c>
      <c r="J197" s="99">
        <f t="shared" si="16"/>
        <v>0</v>
      </c>
      <c r="K197" s="99">
        <f t="shared" si="17"/>
        <v>114800000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165</v>
      </c>
      <c r="H198" s="99">
        <f t="shared" si="15"/>
        <v>0</v>
      </c>
      <c r="I198" s="99">
        <f t="shared" si="13"/>
        <v>-16335000</v>
      </c>
      <c r="J198" s="99">
        <f t="shared" si="16"/>
        <v>0</v>
      </c>
      <c r="K198" s="99">
        <f t="shared" si="17"/>
        <v>-16335000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164</v>
      </c>
      <c r="H199" s="99">
        <f t="shared" si="15"/>
        <v>0</v>
      </c>
      <c r="I199" s="99">
        <f t="shared" si="13"/>
        <v>-33743000</v>
      </c>
      <c r="J199" s="99">
        <f t="shared" si="16"/>
        <v>0</v>
      </c>
      <c r="K199" s="99">
        <f t="shared" si="17"/>
        <v>-33743000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164</v>
      </c>
      <c r="H200" s="99">
        <f t="shared" si="15"/>
        <v>0</v>
      </c>
      <c r="I200" s="99">
        <f t="shared" si="13"/>
        <v>-15580000</v>
      </c>
      <c r="J200" s="99">
        <f t="shared" si="16"/>
        <v>0</v>
      </c>
      <c r="K200" s="99">
        <f t="shared" si="17"/>
        <v>-15580000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161</v>
      </c>
      <c r="H201" s="99">
        <f t="shared" si="15"/>
        <v>1</v>
      </c>
      <c r="I201" s="99">
        <f t="shared" si="13"/>
        <v>7784000000</v>
      </c>
      <c r="J201" s="99">
        <f t="shared" si="16"/>
        <v>0</v>
      </c>
      <c r="K201" s="99">
        <f t="shared" si="17"/>
        <v>7784000000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161</v>
      </c>
      <c r="H202" s="99">
        <f t="shared" si="15"/>
        <v>0</v>
      </c>
      <c r="I202" s="99">
        <f t="shared" si="13"/>
        <v>-483144900</v>
      </c>
      <c r="J202" s="99">
        <f t="shared" si="16"/>
        <v>0</v>
      </c>
      <c r="K202" s="99">
        <f t="shared" si="17"/>
        <v>-483144900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161</v>
      </c>
      <c r="H203" s="99">
        <f t="shared" si="15"/>
        <v>0</v>
      </c>
      <c r="I203" s="99">
        <f t="shared" si="13"/>
        <v>-805000</v>
      </c>
      <c r="J203" s="99">
        <f t="shared" si="16"/>
        <v>0</v>
      </c>
      <c r="K203" s="99">
        <f t="shared" si="17"/>
        <v>-805000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161</v>
      </c>
      <c r="H204" s="99">
        <f t="shared" si="15"/>
        <v>0</v>
      </c>
      <c r="I204" s="99">
        <f t="shared" si="13"/>
        <v>-5393500000</v>
      </c>
      <c r="J204" s="99">
        <f t="shared" si="16"/>
        <v>0</v>
      </c>
      <c r="K204" s="99">
        <f t="shared" si="17"/>
        <v>-5393500000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160</v>
      </c>
      <c r="H205" s="99">
        <f t="shared" si="15"/>
        <v>0</v>
      </c>
      <c r="I205" s="99">
        <f t="shared" si="13"/>
        <v>-1989600000</v>
      </c>
      <c r="J205" s="99">
        <f t="shared" si="16"/>
        <v>0</v>
      </c>
      <c r="K205" s="99">
        <f t="shared" si="17"/>
        <v>-1989600000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157</v>
      </c>
      <c r="H206" s="99">
        <f t="shared" si="15"/>
        <v>0</v>
      </c>
      <c r="I206" s="99">
        <f t="shared" si="13"/>
        <v>-2904500</v>
      </c>
      <c r="J206" s="99">
        <f t="shared" si="16"/>
        <v>0</v>
      </c>
      <c r="K206" s="99">
        <f t="shared" si="17"/>
        <v>-2904500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155</v>
      </c>
      <c r="H207" s="99">
        <f t="shared" si="15"/>
        <v>1</v>
      </c>
      <c r="I207" s="99">
        <f t="shared" si="13"/>
        <v>2229920</v>
      </c>
      <c r="J207" s="99">
        <f t="shared" ref="J207:J281" si="20">C207*(G207-H207)</f>
        <v>10914596</v>
      </c>
      <c r="K207" s="99">
        <f t="shared" si="17"/>
        <v>-8684676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154</v>
      </c>
      <c r="H208" s="99">
        <f t="shared" si="15"/>
        <v>1</v>
      </c>
      <c r="I208" s="99">
        <f t="shared" si="13"/>
        <v>126990000</v>
      </c>
      <c r="J208" s="99">
        <f t="shared" si="20"/>
        <v>0</v>
      </c>
      <c r="K208" s="99">
        <f t="shared" si="17"/>
        <v>126990000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152</v>
      </c>
      <c r="H209" s="99">
        <f t="shared" si="15"/>
        <v>0</v>
      </c>
      <c r="I209" s="99">
        <f t="shared" si="13"/>
        <v>-7970880</v>
      </c>
      <c r="J209" s="99">
        <f t="shared" si="20"/>
        <v>0</v>
      </c>
      <c r="K209" s="99">
        <f t="shared" si="17"/>
        <v>-7970880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151</v>
      </c>
      <c r="H210" s="99">
        <f t="shared" si="15"/>
        <v>0</v>
      </c>
      <c r="I210" s="99">
        <f t="shared" si="13"/>
        <v>-7716100</v>
      </c>
      <c r="J210" s="99">
        <f t="shared" si="20"/>
        <v>0</v>
      </c>
      <c r="K210" s="99">
        <f t="shared" si="17"/>
        <v>-7716100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150</v>
      </c>
      <c r="H211" s="99">
        <f t="shared" si="15"/>
        <v>0</v>
      </c>
      <c r="I211" s="99">
        <f t="shared" si="13"/>
        <v>-30000000</v>
      </c>
      <c r="J211" s="99">
        <f t="shared" si="20"/>
        <v>0</v>
      </c>
      <c r="K211" s="99">
        <f t="shared" si="17"/>
        <v>-30000000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149</v>
      </c>
      <c r="H212" s="99">
        <f t="shared" si="15"/>
        <v>0</v>
      </c>
      <c r="I212" s="99">
        <f t="shared" si="13"/>
        <v>-4172000</v>
      </c>
      <c r="J212" s="99">
        <f t="shared" si="20"/>
        <v>0</v>
      </c>
      <c r="K212" s="99">
        <f t="shared" si="17"/>
        <v>-4172000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148</v>
      </c>
      <c r="H213" s="99">
        <f t="shared" si="15"/>
        <v>0</v>
      </c>
      <c r="I213" s="99">
        <f t="shared" si="13"/>
        <v>-8746800</v>
      </c>
      <c r="J213" s="99">
        <f t="shared" si="20"/>
        <v>0</v>
      </c>
      <c r="K213" s="99">
        <f t="shared" si="17"/>
        <v>-8746800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147</v>
      </c>
      <c r="H214" s="99">
        <f t="shared" si="15"/>
        <v>0</v>
      </c>
      <c r="I214" s="99">
        <f t="shared" si="13"/>
        <v>-4410000</v>
      </c>
      <c r="J214" s="99">
        <f t="shared" si="20"/>
        <v>0</v>
      </c>
      <c r="K214" s="99">
        <f t="shared" si="17"/>
        <v>-4410000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147</v>
      </c>
      <c r="H215" s="99">
        <f t="shared" si="15"/>
        <v>0</v>
      </c>
      <c r="I215" s="99">
        <f t="shared" si="13"/>
        <v>-26166000</v>
      </c>
      <c r="J215" s="99">
        <f t="shared" si="20"/>
        <v>0</v>
      </c>
      <c r="K215" s="99">
        <f t="shared" si="17"/>
        <v>-26166000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146</v>
      </c>
      <c r="H216" s="99">
        <f t="shared" si="15"/>
        <v>0</v>
      </c>
      <c r="I216" s="99">
        <f t="shared" si="13"/>
        <v>-13959060</v>
      </c>
      <c r="J216" s="99">
        <f t="shared" si="20"/>
        <v>0</v>
      </c>
      <c r="K216" s="99">
        <f t="shared" si="17"/>
        <v>-13959060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143</v>
      </c>
      <c r="H217" s="99">
        <f t="shared" si="15"/>
        <v>0</v>
      </c>
      <c r="I217" s="99">
        <f t="shared" si="13"/>
        <v>-12012000</v>
      </c>
      <c r="J217" s="99">
        <f t="shared" si="20"/>
        <v>0</v>
      </c>
      <c r="K217" s="99">
        <f t="shared" si="17"/>
        <v>-12012000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141</v>
      </c>
      <c r="H218" s="99">
        <f t="shared" si="15"/>
        <v>0</v>
      </c>
      <c r="I218" s="99">
        <f t="shared" si="13"/>
        <v>-4653000</v>
      </c>
      <c r="J218" s="99">
        <f t="shared" si="20"/>
        <v>0</v>
      </c>
      <c r="K218" s="99">
        <f t="shared" si="17"/>
        <v>-4653000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138</v>
      </c>
      <c r="H219" s="99">
        <f t="shared" si="15"/>
        <v>1</v>
      </c>
      <c r="I219" s="99">
        <f t="shared" si="13"/>
        <v>212076000</v>
      </c>
      <c r="J219" s="99">
        <f t="shared" si="20"/>
        <v>0</v>
      </c>
      <c r="K219" s="99">
        <f t="shared" si="17"/>
        <v>212076000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137</v>
      </c>
      <c r="H220" s="99">
        <f t="shared" si="15"/>
        <v>0</v>
      </c>
      <c r="I220" s="99">
        <f t="shared" si="13"/>
        <v>-191895900</v>
      </c>
      <c r="J220" s="99">
        <f t="shared" si="20"/>
        <v>0</v>
      </c>
      <c r="K220" s="99">
        <f t="shared" si="17"/>
        <v>-191895900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137</v>
      </c>
      <c r="H221" s="99">
        <f t="shared" si="15"/>
        <v>0</v>
      </c>
      <c r="I221" s="99">
        <f t="shared" si="13"/>
        <v>-1370000</v>
      </c>
      <c r="J221" s="99">
        <f t="shared" si="20"/>
        <v>0</v>
      </c>
      <c r="K221" s="99">
        <f t="shared" si="17"/>
        <v>-1370000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137</v>
      </c>
      <c r="H222" s="99">
        <f t="shared" si="15"/>
        <v>0</v>
      </c>
      <c r="I222" s="99">
        <f t="shared" si="13"/>
        <v>-685000</v>
      </c>
      <c r="J222" s="99">
        <f t="shared" si="20"/>
        <v>-342500</v>
      </c>
      <c r="K222" s="99">
        <f t="shared" si="17"/>
        <v>-342500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131</v>
      </c>
      <c r="H223" s="99">
        <f t="shared" si="15"/>
        <v>0</v>
      </c>
      <c r="I223" s="99">
        <f t="shared" si="13"/>
        <v>-24890000</v>
      </c>
      <c r="J223" s="99">
        <f t="shared" si="20"/>
        <v>0</v>
      </c>
      <c r="K223" s="99">
        <f t="shared" si="17"/>
        <v>-24890000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124</v>
      </c>
      <c r="H224" s="99">
        <f t="shared" si="15"/>
        <v>1</v>
      </c>
      <c r="I224" s="99">
        <f t="shared" si="13"/>
        <v>235053</v>
      </c>
      <c r="J224" s="99">
        <f t="shared" si="20"/>
        <v>7991556</v>
      </c>
      <c r="K224" s="99">
        <f t="shared" si="17"/>
        <v>-7756503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118</v>
      </c>
      <c r="H225" s="99">
        <f t="shared" si="15"/>
        <v>1</v>
      </c>
      <c r="I225" s="99">
        <f t="shared" si="13"/>
        <v>585000000</v>
      </c>
      <c r="J225" s="99">
        <f t="shared" si="20"/>
        <v>0</v>
      </c>
      <c r="K225" s="99">
        <f t="shared" si="17"/>
        <v>585000000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117</v>
      </c>
      <c r="H226" s="99">
        <f t="shared" si="15"/>
        <v>0</v>
      </c>
      <c r="I226" s="99">
        <f t="shared" si="13"/>
        <v>-374400000</v>
      </c>
      <c r="J226" s="99">
        <f t="shared" si="20"/>
        <v>0</v>
      </c>
      <c r="K226" s="99">
        <f t="shared" si="17"/>
        <v>-374400000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117</v>
      </c>
      <c r="H227" s="99">
        <f t="shared" si="15"/>
        <v>1</v>
      </c>
      <c r="I227" s="99">
        <f t="shared" si="13"/>
        <v>278400000</v>
      </c>
      <c r="J227" s="99">
        <f t="shared" si="20"/>
        <v>0</v>
      </c>
      <c r="K227" s="99">
        <f t="shared" si="17"/>
        <v>278400000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115</v>
      </c>
      <c r="H228" s="99">
        <f t="shared" si="15"/>
        <v>0</v>
      </c>
      <c r="I228" s="99">
        <f t="shared" si="13"/>
        <v>-5750000</v>
      </c>
      <c r="J228" s="99">
        <f t="shared" si="20"/>
        <v>0</v>
      </c>
      <c r="K228" s="99">
        <f t="shared" si="17"/>
        <v>-5750000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114</v>
      </c>
      <c r="H229" s="99">
        <f t="shared" si="15"/>
        <v>0</v>
      </c>
      <c r="I229" s="99">
        <f t="shared" si="13"/>
        <v>-467479800</v>
      </c>
      <c r="J229" s="99">
        <f t="shared" si="20"/>
        <v>0</v>
      </c>
      <c r="K229" s="99">
        <f t="shared" si="17"/>
        <v>-467479800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110</v>
      </c>
      <c r="H230" s="99">
        <f t="shared" si="15"/>
        <v>1</v>
      </c>
      <c r="I230" s="99">
        <f t="shared" si="13"/>
        <v>1057300000</v>
      </c>
      <c r="J230" s="99">
        <f t="shared" si="20"/>
        <v>0</v>
      </c>
      <c r="K230" s="99">
        <f t="shared" si="17"/>
        <v>1057300000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110</v>
      </c>
      <c r="H231" s="99">
        <f t="shared" si="15"/>
        <v>0</v>
      </c>
      <c r="I231" s="99">
        <f t="shared" si="13"/>
        <v>-330099000</v>
      </c>
      <c r="J231" s="99">
        <f t="shared" si="20"/>
        <v>0</v>
      </c>
      <c r="K231" s="99">
        <f t="shared" si="17"/>
        <v>-330099000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109</v>
      </c>
      <c r="H232" s="99">
        <f t="shared" si="15"/>
        <v>0</v>
      </c>
      <c r="I232" s="99">
        <f t="shared" si="13"/>
        <v>-327098100</v>
      </c>
      <c r="J232" s="99">
        <f t="shared" si="20"/>
        <v>0</v>
      </c>
      <c r="K232" s="99">
        <f t="shared" si="17"/>
        <v>-327098100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109</v>
      </c>
      <c r="H233" s="99">
        <f t="shared" si="15"/>
        <v>0</v>
      </c>
      <c r="I233" s="99">
        <f t="shared" si="13"/>
        <v>-60495000</v>
      </c>
      <c r="J233" s="99">
        <f t="shared" si="20"/>
        <v>0</v>
      </c>
      <c r="K233" s="99">
        <f t="shared" si="17"/>
        <v>-60495000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108</v>
      </c>
      <c r="H234" s="99">
        <f t="shared" si="15"/>
        <v>0</v>
      </c>
      <c r="I234" s="99">
        <f t="shared" si="13"/>
        <v>-14942880</v>
      </c>
      <c r="J234" s="99">
        <f t="shared" si="20"/>
        <v>0</v>
      </c>
      <c r="K234" s="99">
        <f t="shared" si="17"/>
        <v>-14942880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107</v>
      </c>
      <c r="H235" s="99">
        <f t="shared" si="15"/>
        <v>0</v>
      </c>
      <c r="I235" s="99">
        <f t="shared" si="13"/>
        <v>-321096300</v>
      </c>
      <c r="J235" s="99">
        <f t="shared" si="20"/>
        <v>0</v>
      </c>
      <c r="K235" s="99">
        <f t="shared" si="17"/>
        <v>-321096300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105</v>
      </c>
      <c r="H236" s="99">
        <f t="shared" si="15"/>
        <v>0</v>
      </c>
      <c r="I236" s="99">
        <f t="shared" si="13"/>
        <v>-5775000</v>
      </c>
      <c r="J236" s="99">
        <f t="shared" si="20"/>
        <v>0</v>
      </c>
      <c r="K236" s="99">
        <f t="shared" si="17"/>
        <v>-5775000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101</v>
      </c>
      <c r="H237" s="99">
        <f t="shared" si="15"/>
        <v>1</v>
      </c>
      <c r="I237" s="99">
        <f t="shared" si="13"/>
        <v>603500000</v>
      </c>
      <c r="J237" s="99">
        <f t="shared" si="20"/>
        <v>0</v>
      </c>
      <c r="K237" s="99">
        <f t="shared" si="17"/>
        <v>603500000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99</v>
      </c>
      <c r="H238" s="99">
        <f t="shared" si="15"/>
        <v>0</v>
      </c>
      <c r="I238" s="99">
        <f t="shared" si="13"/>
        <v>-742500</v>
      </c>
      <c r="J238" s="99">
        <f t="shared" si="20"/>
        <v>0</v>
      </c>
      <c r="K238" s="99">
        <f t="shared" si="17"/>
        <v>-742500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98</v>
      </c>
      <c r="H239" s="99">
        <f t="shared" si="15"/>
        <v>0</v>
      </c>
      <c r="I239" s="99">
        <f t="shared" si="13"/>
        <v>-401655254</v>
      </c>
      <c r="J239" s="99">
        <f t="shared" si="20"/>
        <v>0</v>
      </c>
      <c r="K239" s="99">
        <f t="shared" si="17"/>
        <v>-401655254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98</v>
      </c>
      <c r="H240" s="99">
        <f t="shared" si="15"/>
        <v>0</v>
      </c>
      <c r="I240" s="99">
        <f t="shared" si="13"/>
        <v>-3256050</v>
      </c>
      <c r="J240" s="99">
        <f t="shared" si="20"/>
        <v>0</v>
      </c>
      <c r="K240" s="99">
        <f t="shared" si="17"/>
        <v>-3256050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98</v>
      </c>
      <c r="H241" s="99">
        <f t="shared" si="15"/>
        <v>0</v>
      </c>
      <c r="I241" s="99">
        <f t="shared" si="13"/>
        <v>-185710000</v>
      </c>
      <c r="J241" s="99">
        <f t="shared" si="20"/>
        <v>0</v>
      </c>
      <c r="K241" s="99">
        <f t="shared" si="17"/>
        <v>-185710000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91</v>
      </c>
      <c r="H242" s="99">
        <f t="shared" si="15"/>
        <v>1</v>
      </c>
      <c r="I242" s="99">
        <f t="shared" si="13"/>
        <v>225000000</v>
      </c>
      <c r="J242" s="99">
        <f t="shared" si="20"/>
        <v>0</v>
      </c>
      <c r="K242" s="99">
        <f t="shared" si="17"/>
        <v>225000000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89</v>
      </c>
      <c r="H243" s="99">
        <f t="shared" si="15"/>
        <v>0</v>
      </c>
      <c r="I243" s="99">
        <f t="shared" si="13"/>
        <v>-222500000</v>
      </c>
      <c r="J243" s="99">
        <f t="shared" si="20"/>
        <v>0</v>
      </c>
      <c r="K243" s="99">
        <f t="shared" si="17"/>
        <v>-222500000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87</v>
      </c>
      <c r="H244" s="99">
        <f t="shared" si="15"/>
        <v>1</v>
      </c>
      <c r="I244" s="99">
        <f t="shared" si="13"/>
        <v>94600000</v>
      </c>
      <c r="J244" s="99">
        <f t="shared" si="20"/>
        <v>0</v>
      </c>
      <c r="K244" s="99">
        <f t="shared" si="17"/>
        <v>94600000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85</v>
      </c>
      <c r="H245" s="99">
        <f t="shared" si="15"/>
        <v>1</v>
      </c>
      <c r="I245" s="99">
        <f t="shared" si="13"/>
        <v>252000000</v>
      </c>
      <c r="J245" s="99">
        <f t="shared" si="20"/>
        <v>0</v>
      </c>
      <c r="K245" s="99">
        <f t="shared" si="17"/>
        <v>252000000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83</v>
      </c>
      <c r="H246" s="99">
        <f t="shared" si="15"/>
        <v>0</v>
      </c>
      <c r="I246" s="99">
        <f t="shared" si="13"/>
        <v>-335378100</v>
      </c>
      <c r="J246" s="99">
        <f t="shared" si="20"/>
        <v>0</v>
      </c>
      <c r="K246" s="99">
        <f t="shared" si="17"/>
        <v>-335378100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83</v>
      </c>
      <c r="H247" s="99">
        <f t="shared" si="15"/>
        <v>1</v>
      </c>
      <c r="I247" s="99">
        <f t="shared" si="13"/>
        <v>40180000</v>
      </c>
      <c r="J247" s="99">
        <f t="shared" si="20"/>
        <v>0</v>
      </c>
      <c r="K247" s="99">
        <f t="shared" si="17"/>
        <v>40180000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82</v>
      </c>
      <c r="H248" s="99">
        <f t="shared" si="15"/>
        <v>1</v>
      </c>
      <c r="I248" s="99">
        <f t="shared" si="13"/>
        <v>113400000</v>
      </c>
      <c r="J248" s="99">
        <f t="shared" si="20"/>
        <v>0</v>
      </c>
      <c r="K248" s="99">
        <f t="shared" si="17"/>
        <v>113400000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82</v>
      </c>
      <c r="H249" s="99">
        <f t="shared" si="15"/>
        <v>0</v>
      </c>
      <c r="I249" s="99">
        <f t="shared" si="13"/>
        <v>-123000000</v>
      </c>
      <c r="J249" s="99">
        <f t="shared" si="20"/>
        <v>0</v>
      </c>
      <c r="K249" s="99">
        <f t="shared" si="17"/>
        <v>-123000000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81</v>
      </c>
      <c r="H250" s="99">
        <f t="shared" si="15"/>
        <v>0</v>
      </c>
      <c r="I250" s="99">
        <f t="shared" si="13"/>
        <v>-8100000</v>
      </c>
      <c r="J250" s="99">
        <f t="shared" si="20"/>
        <v>0</v>
      </c>
      <c r="K250" s="99">
        <f t="shared" si="17"/>
        <v>-8100000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80</v>
      </c>
      <c r="H251" s="99">
        <f t="shared" si="15"/>
        <v>0</v>
      </c>
      <c r="I251" s="99">
        <f t="shared" si="13"/>
        <v>-1112000</v>
      </c>
      <c r="J251" s="99">
        <f t="shared" si="20"/>
        <v>0</v>
      </c>
      <c r="K251" s="99">
        <f t="shared" si="17"/>
        <v>-1112000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80</v>
      </c>
      <c r="H252" s="99">
        <f t="shared" si="15"/>
        <v>1</v>
      </c>
      <c r="I252" s="99">
        <f t="shared" si="13"/>
        <v>23700000</v>
      </c>
      <c r="J252" s="99">
        <f t="shared" si="20"/>
        <v>0</v>
      </c>
      <c r="K252" s="99">
        <f t="shared" si="17"/>
        <v>23700000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78</v>
      </c>
      <c r="H253" s="99">
        <f t="shared" si="15"/>
        <v>1</v>
      </c>
      <c r="I253" s="99">
        <f t="shared" si="13"/>
        <v>924000000</v>
      </c>
      <c r="J253" s="99">
        <f t="shared" si="20"/>
        <v>0</v>
      </c>
      <c r="K253" s="99">
        <f t="shared" si="17"/>
        <v>924000000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77</v>
      </c>
      <c r="H254" s="99">
        <f t="shared" si="15"/>
        <v>1</v>
      </c>
      <c r="I254" s="99">
        <f t="shared" si="13"/>
        <v>228000000</v>
      </c>
      <c r="J254" s="99">
        <f t="shared" si="20"/>
        <v>0</v>
      </c>
      <c r="K254" s="99">
        <f t="shared" si="17"/>
        <v>228000000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76</v>
      </c>
      <c r="H255" s="99">
        <f t="shared" si="15"/>
        <v>0</v>
      </c>
      <c r="I255" s="99">
        <f t="shared" si="13"/>
        <v>-1064000000</v>
      </c>
      <c r="J255" s="99">
        <f t="shared" si="20"/>
        <v>0</v>
      </c>
      <c r="K255" s="99">
        <f t="shared" si="17"/>
        <v>-1064000000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75</v>
      </c>
      <c r="H256" s="99">
        <f t="shared" si="15"/>
        <v>0</v>
      </c>
      <c r="I256" s="99">
        <f t="shared" si="13"/>
        <v>-9372675</v>
      </c>
      <c r="J256" s="99">
        <f t="shared" si="20"/>
        <v>0</v>
      </c>
      <c r="K256" s="99">
        <f t="shared" si="17"/>
        <v>-9372675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75</v>
      </c>
      <c r="H257" s="99">
        <f t="shared" si="15"/>
        <v>0</v>
      </c>
      <c r="I257" s="99">
        <f t="shared" si="13"/>
        <v>0</v>
      </c>
      <c r="J257" s="99">
        <f t="shared" si="20"/>
        <v>-597659175</v>
      </c>
      <c r="K257" s="99">
        <f t="shared" si="17"/>
        <v>597659175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74</v>
      </c>
      <c r="H258" s="99">
        <f t="shared" si="15"/>
        <v>0</v>
      </c>
      <c r="I258" s="99">
        <f t="shared" si="13"/>
        <v>-97162000</v>
      </c>
      <c r="J258" s="99">
        <f t="shared" si="20"/>
        <v>0</v>
      </c>
      <c r="K258" s="99">
        <f t="shared" si="17"/>
        <v>-97162000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71</v>
      </c>
      <c r="H259" s="99">
        <f t="shared" si="15"/>
        <v>1</v>
      </c>
      <c r="I259" s="99">
        <f t="shared" si="13"/>
        <v>140000000</v>
      </c>
      <c r="J259" s="99">
        <f t="shared" si="20"/>
        <v>0</v>
      </c>
      <c r="K259" s="99">
        <f t="shared" si="17"/>
        <v>140000000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70</v>
      </c>
      <c r="H260" s="99">
        <f t="shared" si="15"/>
        <v>0</v>
      </c>
      <c r="I260" s="99">
        <f t="shared" si="13"/>
        <v>-133000000</v>
      </c>
      <c r="J260" s="99">
        <f t="shared" si="20"/>
        <v>0</v>
      </c>
      <c r="K260" s="99">
        <f t="shared" si="17"/>
        <v>-133000000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70</v>
      </c>
      <c r="H261" s="99">
        <f t="shared" si="15"/>
        <v>0</v>
      </c>
      <c r="I261" s="99">
        <f t="shared" si="13"/>
        <v>-7035000</v>
      </c>
      <c r="J261" s="99">
        <f t="shared" si="20"/>
        <v>0</v>
      </c>
      <c r="K261" s="99">
        <f t="shared" si="17"/>
        <v>-7035000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70</v>
      </c>
      <c r="H262" s="99">
        <f t="shared" si="15"/>
        <v>0</v>
      </c>
      <c r="I262" s="99">
        <f t="shared" si="13"/>
        <v>-4806900</v>
      </c>
      <c r="J262" s="99">
        <f t="shared" si="20"/>
        <v>0</v>
      </c>
      <c r="K262" s="99">
        <f t="shared" si="17"/>
        <v>-4806900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69</v>
      </c>
      <c r="H263" s="99">
        <f t="shared" si="15"/>
        <v>0</v>
      </c>
      <c r="I263" s="99">
        <f t="shared" si="13"/>
        <v>-8183400</v>
      </c>
      <c r="J263" s="99">
        <f t="shared" si="20"/>
        <v>0</v>
      </c>
      <c r="K263" s="99">
        <f t="shared" si="17"/>
        <v>-8183400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67</v>
      </c>
      <c r="H264" s="99">
        <f t="shared" si="15"/>
        <v>1</v>
      </c>
      <c r="I264" s="99">
        <f t="shared" si="13"/>
        <v>447414000</v>
      </c>
      <c r="J264" s="99">
        <f t="shared" si="20"/>
        <v>0</v>
      </c>
      <c r="K264" s="99">
        <f t="shared" si="17"/>
        <v>447414000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67</v>
      </c>
      <c r="H265" s="99">
        <f t="shared" si="15"/>
        <v>0</v>
      </c>
      <c r="I265" s="99">
        <f t="shared" si="13"/>
        <v>-428800000</v>
      </c>
      <c r="J265" s="99">
        <f t="shared" si="20"/>
        <v>0</v>
      </c>
      <c r="K265" s="99">
        <f t="shared" si="17"/>
        <v>-428800000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67</v>
      </c>
      <c r="H266" s="99">
        <f t="shared" si="15"/>
        <v>0</v>
      </c>
      <c r="I266" s="99">
        <f t="shared" si="13"/>
        <v>-26063000</v>
      </c>
      <c r="J266" s="99">
        <f t="shared" si="20"/>
        <v>0</v>
      </c>
      <c r="K266" s="99">
        <f t="shared" si="17"/>
        <v>-26063000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63</v>
      </c>
      <c r="H267" s="99">
        <f t="shared" si="15"/>
        <v>1</v>
      </c>
      <c r="I267" s="99">
        <f t="shared" si="13"/>
        <v>13640000</v>
      </c>
      <c r="J267" s="99">
        <f t="shared" si="20"/>
        <v>0</v>
      </c>
      <c r="K267" s="99">
        <f t="shared" si="17"/>
        <v>13640000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63</v>
      </c>
      <c r="H268" s="99">
        <f t="shared" si="15"/>
        <v>0</v>
      </c>
      <c r="I268" s="99">
        <f t="shared" si="13"/>
        <v>-6891570</v>
      </c>
      <c r="J268" s="99">
        <f t="shared" si="20"/>
        <v>0</v>
      </c>
      <c r="K268" s="99">
        <f t="shared" si="17"/>
        <v>-6891570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61</v>
      </c>
      <c r="H269" s="99">
        <f t="shared" si="15"/>
        <v>1</v>
      </c>
      <c r="I269" s="99">
        <f t="shared" si="13"/>
        <v>6000000</v>
      </c>
      <c r="J269" s="99">
        <f t="shared" si="20"/>
        <v>0</v>
      </c>
      <c r="K269" s="99">
        <f t="shared" si="17"/>
        <v>6000000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61</v>
      </c>
      <c r="H270" s="99">
        <f t="shared" si="15"/>
        <v>1</v>
      </c>
      <c r="I270" s="99">
        <f t="shared" si="13"/>
        <v>156000000</v>
      </c>
      <c r="J270" s="99">
        <f t="shared" si="20"/>
        <v>0</v>
      </c>
      <c r="K270" s="99">
        <f t="shared" si="17"/>
        <v>156000000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60</v>
      </c>
      <c r="H271" s="99">
        <f t="shared" si="15"/>
        <v>1</v>
      </c>
      <c r="I271" s="99">
        <f t="shared" si="13"/>
        <v>259600000</v>
      </c>
      <c r="J271" s="99">
        <f t="shared" si="20"/>
        <v>0</v>
      </c>
      <c r="K271" s="99">
        <f t="shared" si="17"/>
        <v>259600000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60</v>
      </c>
      <c r="H272" s="99">
        <f t="shared" si="15"/>
        <v>0</v>
      </c>
      <c r="I272" s="99">
        <f t="shared" si="13"/>
        <v>-5700000</v>
      </c>
      <c r="J272" s="99">
        <f t="shared" si="20"/>
        <v>0</v>
      </c>
      <c r="K272" s="99">
        <f t="shared" si="17"/>
        <v>-5700000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59</v>
      </c>
      <c r="H273" s="99">
        <f t="shared" si="15"/>
        <v>0</v>
      </c>
      <c r="I273" s="99">
        <f t="shared" si="13"/>
        <v>-53100000</v>
      </c>
      <c r="J273" s="99">
        <f t="shared" si="20"/>
        <v>0</v>
      </c>
      <c r="K273" s="99">
        <f t="shared" si="17"/>
        <v>-53100000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58</v>
      </c>
      <c r="H274" s="99">
        <f t="shared" si="15"/>
        <v>1</v>
      </c>
      <c r="I274" s="99">
        <f t="shared" si="13"/>
        <v>142500000</v>
      </c>
      <c r="J274" s="99">
        <f t="shared" si="20"/>
        <v>0</v>
      </c>
      <c r="K274" s="99">
        <f t="shared" si="17"/>
        <v>142500000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58</v>
      </c>
      <c r="H275" s="99">
        <f t="shared" si="15"/>
        <v>0</v>
      </c>
      <c r="I275" s="99">
        <f t="shared" si="13"/>
        <v>-74646000</v>
      </c>
      <c r="J275" s="99">
        <f t="shared" si="20"/>
        <v>0</v>
      </c>
      <c r="K275" s="99">
        <f t="shared" si="17"/>
        <v>-74646000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56</v>
      </c>
      <c r="H276" s="99">
        <f t="shared" si="15"/>
        <v>1</v>
      </c>
      <c r="I276" s="99">
        <f t="shared" si="13"/>
        <v>209000000</v>
      </c>
      <c r="J276" s="99">
        <f t="shared" si="20"/>
        <v>0</v>
      </c>
      <c r="K276" s="99">
        <f t="shared" si="17"/>
        <v>209000000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55</v>
      </c>
      <c r="H277" s="99">
        <f t="shared" si="15"/>
        <v>1</v>
      </c>
      <c r="I277" s="99">
        <f t="shared" si="13"/>
        <v>1134000000</v>
      </c>
      <c r="J277" s="99">
        <f t="shared" si="20"/>
        <v>0</v>
      </c>
      <c r="K277" s="99">
        <f t="shared" si="17"/>
        <v>1134000000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54</v>
      </c>
      <c r="H278" s="99">
        <f t="shared" si="15"/>
        <v>1</v>
      </c>
      <c r="I278" s="99">
        <f t="shared" si="13"/>
        <v>159000000</v>
      </c>
      <c r="J278" s="99">
        <f t="shared" si="20"/>
        <v>0</v>
      </c>
      <c r="K278" s="99">
        <f t="shared" si="17"/>
        <v>159000000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54</v>
      </c>
      <c r="H279" s="99">
        <f t="shared" si="15"/>
        <v>1</v>
      </c>
      <c r="I279" s="99">
        <f t="shared" si="13"/>
        <v>106000000</v>
      </c>
      <c r="J279" s="99">
        <f t="shared" si="20"/>
        <v>0</v>
      </c>
      <c r="K279" s="99">
        <f t="shared" si="17"/>
        <v>106000000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53</v>
      </c>
      <c r="H280" s="99">
        <f t="shared" si="15"/>
        <v>0</v>
      </c>
      <c r="I280" s="99">
        <f t="shared" si="13"/>
        <v>-106000000</v>
      </c>
      <c r="J280" s="99">
        <f t="shared" si="20"/>
        <v>0</v>
      </c>
      <c r="K280" s="99">
        <f t="shared" si="17"/>
        <v>-106000000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52</v>
      </c>
      <c r="H281" s="99">
        <f t="shared" si="15"/>
        <v>0</v>
      </c>
      <c r="I281" s="99">
        <f t="shared" si="13"/>
        <v>-520000000</v>
      </c>
      <c r="J281" s="99">
        <f t="shared" si="20"/>
        <v>0</v>
      </c>
      <c r="K281" s="99">
        <f t="shared" si="17"/>
        <v>-520000000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48</v>
      </c>
      <c r="H282" s="99">
        <f t="shared" si="15"/>
        <v>0</v>
      </c>
      <c r="I282" s="99">
        <f t="shared" si="13"/>
        <v>-801600000</v>
      </c>
      <c r="J282" s="99">
        <f t="shared" ref="J282:J296" si="22">C282*(G282-H282)</f>
        <v>0</v>
      </c>
      <c r="K282" s="99">
        <f t="shared" ref="K282:K296" si="23">D282*(G282-H282)</f>
        <v>-801600000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46</v>
      </c>
      <c r="H283" s="99">
        <f t="shared" si="15"/>
        <v>1</v>
      </c>
      <c r="I283" s="99">
        <f t="shared" si="13"/>
        <v>540000000</v>
      </c>
      <c r="J283" s="99">
        <f t="shared" si="22"/>
        <v>0</v>
      </c>
      <c r="K283" s="99">
        <f t="shared" si="23"/>
        <v>540000000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45</v>
      </c>
      <c r="H284" s="99">
        <f t="shared" si="15"/>
        <v>1</v>
      </c>
      <c r="I284" s="99">
        <f t="shared" si="13"/>
        <v>83600000</v>
      </c>
      <c r="J284" s="99">
        <f t="shared" si="22"/>
        <v>0</v>
      </c>
      <c r="K284" s="99">
        <f t="shared" si="23"/>
        <v>83600000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45</v>
      </c>
      <c r="H285" s="99">
        <f t="shared" si="15"/>
        <v>0</v>
      </c>
      <c r="I285" s="99">
        <f t="shared" si="13"/>
        <v>-179775000</v>
      </c>
      <c r="J285" s="99">
        <f t="shared" si="22"/>
        <v>0</v>
      </c>
      <c r="K285" s="99">
        <f t="shared" si="23"/>
        <v>-179775000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42</v>
      </c>
      <c r="H286" s="99">
        <f t="shared" si="15"/>
        <v>0</v>
      </c>
      <c r="I286" s="99">
        <f t="shared" si="13"/>
        <v>-84449400</v>
      </c>
      <c r="J286" s="99">
        <f t="shared" si="22"/>
        <v>0</v>
      </c>
      <c r="K286" s="99">
        <f t="shared" si="23"/>
        <v>-84449400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42</v>
      </c>
      <c r="H287" s="99">
        <f t="shared" si="15"/>
        <v>0</v>
      </c>
      <c r="I287" s="99">
        <f t="shared" si="13"/>
        <v>-168000000</v>
      </c>
      <c r="J287" s="99">
        <f t="shared" si="22"/>
        <v>0</v>
      </c>
      <c r="K287" s="99">
        <f t="shared" si="23"/>
        <v>-168000000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41</v>
      </c>
      <c r="H288" s="99">
        <f t="shared" si="15"/>
        <v>0</v>
      </c>
      <c r="I288" s="99">
        <f t="shared" si="13"/>
        <v>-233700000</v>
      </c>
      <c r="J288" s="99">
        <f t="shared" si="22"/>
        <v>0</v>
      </c>
      <c r="K288" s="99">
        <f t="shared" si="23"/>
        <v>-233700000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39</v>
      </c>
      <c r="H289" s="99">
        <f t="shared" si="15"/>
        <v>1</v>
      </c>
      <c r="I289" s="99">
        <f t="shared" si="13"/>
        <v>304000000</v>
      </c>
      <c r="J289" s="99">
        <f t="shared" si="22"/>
        <v>0</v>
      </c>
      <c r="K289" s="99">
        <f t="shared" si="23"/>
        <v>304000000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38</v>
      </c>
      <c r="H290" s="99">
        <f t="shared" si="15"/>
        <v>0</v>
      </c>
      <c r="I290" s="99">
        <f t="shared" si="13"/>
        <v>-304000000</v>
      </c>
      <c r="J290" s="99">
        <f t="shared" si="22"/>
        <v>0</v>
      </c>
      <c r="K290" s="99">
        <f t="shared" si="23"/>
        <v>-304000000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35</v>
      </c>
      <c r="H291" s="99">
        <f t="shared" si="15"/>
        <v>0</v>
      </c>
      <c r="I291" s="99">
        <f t="shared" si="13"/>
        <v>-210000000</v>
      </c>
      <c r="J291" s="99">
        <f t="shared" si="22"/>
        <v>0</v>
      </c>
      <c r="K291" s="99">
        <f t="shared" si="23"/>
        <v>-210000000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35</v>
      </c>
      <c r="H292" s="99">
        <f t="shared" si="15"/>
        <v>0</v>
      </c>
      <c r="I292" s="99">
        <f t="shared" si="13"/>
        <v>-2706025</v>
      </c>
      <c r="J292" s="99">
        <f t="shared" si="22"/>
        <v>0</v>
      </c>
      <c r="K292" s="99">
        <f t="shared" si="23"/>
        <v>-2706025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34</v>
      </c>
      <c r="H293" s="99">
        <f t="shared" si="15"/>
        <v>0</v>
      </c>
      <c r="I293" s="99">
        <f t="shared" si="13"/>
        <v>-3292900</v>
      </c>
      <c r="J293" s="99">
        <f t="shared" si="22"/>
        <v>0</v>
      </c>
      <c r="K293" s="99">
        <f t="shared" si="23"/>
        <v>-3292900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32</v>
      </c>
      <c r="H294" s="99">
        <f t="shared" si="15"/>
        <v>0</v>
      </c>
      <c r="I294" s="99">
        <f t="shared" si="13"/>
        <v>-1440000</v>
      </c>
      <c r="J294" s="99">
        <f t="shared" si="22"/>
        <v>0</v>
      </c>
      <c r="K294" s="99">
        <f t="shared" si="23"/>
        <v>-1440000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32</v>
      </c>
      <c r="H295" s="99">
        <f t="shared" si="15"/>
        <v>0</v>
      </c>
      <c r="I295" s="99">
        <f t="shared" si="13"/>
        <v>-1531136</v>
      </c>
      <c r="J295" s="99">
        <f t="shared" si="22"/>
        <v>0</v>
      </c>
      <c r="K295" s="99">
        <f t="shared" si="23"/>
        <v>-1531136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31</v>
      </c>
      <c r="H296" s="99">
        <f t="shared" si="15"/>
        <v>0</v>
      </c>
      <c r="I296" s="99">
        <f t="shared" si="13"/>
        <v>-6200000</v>
      </c>
      <c r="J296" s="99">
        <f t="shared" si="22"/>
        <v>0</v>
      </c>
      <c r="K296" s="99">
        <f t="shared" si="23"/>
        <v>-6200000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28</v>
      </c>
      <c r="H297" s="99">
        <f t="shared" si="15"/>
        <v>0</v>
      </c>
      <c r="I297" s="99">
        <f t="shared" ref="I297:I308" si="24">B297*(G297-H297)</f>
        <v>-1692880</v>
      </c>
      <c r="J297" s="99">
        <f t="shared" ref="J297:J308" si="25">C297*(G297-H297)</f>
        <v>0</v>
      </c>
      <c r="K297" s="99">
        <f t="shared" ref="K297:K308" si="26">D297*(G297-H297)</f>
        <v>-1692880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27</v>
      </c>
      <c r="H298" s="99">
        <f t="shared" si="15"/>
        <v>0</v>
      </c>
      <c r="I298" s="99">
        <f t="shared" si="24"/>
        <v>-1620000</v>
      </c>
      <c r="J298" s="99">
        <f t="shared" si="25"/>
        <v>0</v>
      </c>
      <c r="K298" s="99">
        <f t="shared" si="26"/>
        <v>-1620000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27</v>
      </c>
      <c r="H299" s="99">
        <f t="shared" si="15"/>
        <v>1</v>
      </c>
      <c r="I299" s="99">
        <f t="shared" si="24"/>
        <v>62400000</v>
      </c>
      <c r="J299" s="99">
        <f t="shared" si="25"/>
        <v>0</v>
      </c>
      <c r="K299" s="99">
        <f t="shared" si="26"/>
        <v>62400000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27</v>
      </c>
      <c r="H300" s="99">
        <f t="shared" si="15"/>
        <v>0</v>
      </c>
      <c r="I300" s="99">
        <f t="shared" si="24"/>
        <v>-3703401</v>
      </c>
      <c r="J300" s="99">
        <f t="shared" si="25"/>
        <v>0</v>
      </c>
      <c r="K300" s="99">
        <f t="shared" si="26"/>
        <v>-3703401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27</v>
      </c>
      <c r="H301" s="99">
        <f t="shared" si="15"/>
        <v>0</v>
      </c>
      <c r="I301" s="99">
        <f t="shared" si="24"/>
        <v>-1387800</v>
      </c>
      <c r="J301" s="99">
        <f t="shared" si="25"/>
        <v>0</v>
      </c>
      <c r="K301" s="99">
        <f t="shared" si="26"/>
        <v>-1387800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26</v>
      </c>
      <c r="H302" s="99">
        <f t="shared" si="15"/>
        <v>0</v>
      </c>
      <c r="I302" s="99">
        <f t="shared" si="24"/>
        <v>-58500000</v>
      </c>
      <c r="J302" s="99">
        <f t="shared" si="25"/>
        <v>0</v>
      </c>
      <c r="K302" s="99">
        <f t="shared" si="26"/>
        <v>-58500000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26</v>
      </c>
      <c r="H303" s="99">
        <f t="shared" si="15"/>
        <v>1</v>
      </c>
      <c r="I303" s="99">
        <f t="shared" si="24"/>
        <v>17500000</v>
      </c>
      <c r="J303" s="99">
        <f t="shared" si="25"/>
        <v>0</v>
      </c>
      <c r="K303" s="99">
        <f t="shared" si="26"/>
        <v>17500000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24</v>
      </c>
      <c r="H304" s="99">
        <f t="shared" si="15"/>
        <v>1</v>
      </c>
      <c r="I304" s="99">
        <f t="shared" si="24"/>
        <v>13110000</v>
      </c>
      <c r="J304" s="99">
        <f t="shared" si="25"/>
        <v>0</v>
      </c>
      <c r="K304" s="99">
        <f t="shared" si="26"/>
        <v>13110000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24</v>
      </c>
      <c r="H305" s="99">
        <f t="shared" si="15"/>
        <v>0</v>
      </c>
      <c r="I305" s="99">
        <f t="shared" si="24"/>
        <v>-6642552</v>
      </c>
      <c r="J305" s="99">
        <f t="shared" si="25"/>
        <v>0</v>
      </c>
      <c r="K305" s="99">
        <f t="shared" si="26"/>
        <v>-6642552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22</v>
      </c>
      <c r="H306" s="99">
        <f t="shared" si="15"/>
        <v>0</v>
      </c>
      <c r="I306" s="99">
        <f t="shared" si="24"/>
        <v>-2523620</v>
      </c>
      <c r="J306" s="99">
        <f t="shared" si="25"/>
        <v>0</v>
      </c>
      <c r="K306" s="99">
        <f t="shared" si="26"/>
        <v>-2523620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18</v>
      </c>
      <c r="H307" s="99">
        <f t="shared" si="15"/>
        <v>0</v>
      </c>
      <c r="I307" s="99">
        <f t="shared" si="24"/>
        <v>-18000</v>
      </c>
      <c r="J307" s="99">
        <f t="shared" si="25"/>
        <v>0</v>
      </c>
      <c r="K307" s="99">
        <f t="shared" si="26"/>
        <v>-18000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17</v>
      </c>
      <c r="H308" s="99">
        <f t="shared" si="15"/>
        <v>1</v>
      </c>
      <c r="I308" s="99">
        <f t="shared" si="24"/>
        <v>4000000</v>
      </c>
      <c r="J308" s="99">
        <f t="shared" si="25"/>
        <v>0</v>
      </c>
      <c r="K308" s="99">
        <f t="shared" si="26"/>
        <v>4000000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17</v>
      </c>
      <c r="H309" s="99">
        <f t="shared" ref="H309:H325" si="29">IF(B309&gt;0,1,0)</f>
        <v>0</v>
      </c>
      <c r="I309" s="99">
        <f t="shared" ref="I309:I325" si="30">B309*(G309-H309)</f>
        <v>-937040</v>
      </c>
      <c r="J309" s="99">
        <f t="shared" ref="J309:J325" si="31">C309*(G309-H309)</f>
        <v>0</v>
      </c>
      <c r="K309" s="99">
        <f t="shared" ref="K309:K325" si="32">D309*(G309-H309)</f>
        <v>-937040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14</v>
      </c>
      <c r="H310" s="99">
        <f t="shared" si="29"/>
        <v>0</v>
      </c>
      <c r="I310" s="99">
        <f t="shared" si="30"/>
        <v>-1610000</v>
      </c>
      <c r="J310" s="99">
        <f t="shared" si="31"/>
        <v>0</v>
      </c>
      <c r="K310" s="99">
        <f t="shared" si="32"/>
        <v>-1610000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13</v>
      </c>
      <c r="H311" s="99">
        <f t="shared" si="29"/>
        <v>0</v>
      </c>
      <c r="I311" s="99">
        <f t="shared" si="30"/>
        <v>-2789137</v>
      </c>
      <c r="J311" s="99">
        <f t="shared" si="31"/>
        <v>0</v>
      </c>
      <c r="K311" s="99">
        <f t="shared" si="32"/>
        <v>-2789137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11</v>
      </c>
      <c r="H312" s="99">
        <f t="shared" si="29"/>
        <v>0</v>
      </c>
      <c r="I312" s="99">
        <f t="shared" si="30"/>
        <v>-3572217</v>
      </c>
      <c r="J312" s="99">
        <f t="shared" si="31"/>
        <v>0</v>
      </c>
      <c r="K312" s="99">
        <f t="shared" si="32"/>
        <v>-3572217</v>
      </c>
      <c r="M312" t="s">
        <v>25</v>
      </c>
    </row>
    <row r="313" spans="1:13">
      <c r="A313" s="99" t="s">
        <v>4786</v>
      </c>
      <c r="B313" s="18">
        <v>-297992</v>
      </c>
      <c r="C313" s="18">
        <v>0</v>
      </c>
      <c r="D313" s="18">
        <f t="shared" si="18"/>
        <v>-297992</v>
      </c>
      <c r="E313" s="99" t="s">
        <v>4787</v>
      </c>
      <c r="F313" s="99">
        <v>2</v>
      </c>
      <c r="G313" s="36">
        <f t="shared" si="28"/>
        <v>8</v>
      </c>
      <c r="H313" s="99">
        <f t="shared" si="29"/>
        <v>0</v>
      </c>
      <c r="I313" s="99">
        <f t="shared" si="30"/>
        <v>-2383936</v>
      </c>
      <c r="J313" s="99">
        <f t="shared" si="31"/>
        <v>0</v>
      </c>
      <c r="K313" s="99">
        <f t="shared" si="32"/>
        <v>-2383936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6</v>
      </c>
      <c r="H314" s="99">
        <f t="shared" si="29"/>
        <v>0</v>
      </c>
      <c r="I314" s="99">
        <f t="shared" si="30"/>
        <v>-780000</v>
      </c>
      <c r="J314" s="99">
        <f t="shared" si="31"/>
        <v>0</v>
      </c>
      <c r="K314" s="99">
        <f t="shared" si="32"/>
        <v>-780000</v>
      </c>
    </row>
    <row r="315" spans="1:13">
      <c r="A315" s="99" t="s">
        <v>4796</v>
      </c>
      <c r="B315" s="18">
        <v>-40000</v>
      </c>
      <c r="C315" s="18">
        <v>0</v>
      </c>
      <c r="D315" s="18">
        <f t="shared" si="18"/>
        <v>-40000</v>
      </c>
      <c r="E315" s="99" t="s">
        <v>4817</v>
      </c>
      <c r="F315" s="99">
        <v>4</v>
      </c>
      <c r="G315" s="36">
        <f t="shared" si="28"/>
        <v>5</v>
      </c>
      <c r="H315" s="99">
        <f t="shared" si="29"/>
        <v>0</v>
      </c>
      <c r="I315" s="99">
        <f t="shared" si="30"/>
        <v>-200000</v>
      </c>
      <c r="J315" s="99">
        <f t="shared" si="31"/>
        <v>0</v>
      </c>
      <c r="K315" s="99">
        <f t="shared" si="32"/>
        <v>-200000</v>
      </c>
    </row>
    <row r="316" spans="1:13">
      <c r="A316" s="99" t="s">
        <v>4824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1</v>
      </c>
      <c r="G316" s="36">
        <f t="shared" si="28"/>
        <v>1</v>
      </c>
      <c r="H316" s="99">
        <f t="shared" si="29"/>
        <v>1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1724104</v>
      </c>
      <c r="C326" s="29">
        <f>SUM(C2:C325)</f>
        <v>0</v>
      </c>
      <c r="D326" s="29">
        <f>SUM(D2:D325)</f>
        <v>1724104</v>
      </c>
      <c r="E326" s="11"/>
      <c r="F326" s="11"/>
      <c r="G326" s="11"/>
      <c r="H326" s="11"/>
      <c r="I326" s="29">
        <f>SUM(I2:I325)</f>
        <v>19186992472</v>
      </c>
      <c r="J326" s="29">
        <f>SUM(J2:J325)</f>
        <v>8687685429</v>
      </c>
      <c r="K326" s="29">
        <f>SUM(K2:K325)</f>
        <v>10499307043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18290745.921830315</v>
      </c>
      <c r="J329" s="29">
        <f>J326/G2</f>
        <v>8281873.6215443276</v>
      </c>
      <c r="K329" s="29">
        <f>K326/G2</f>
        <v>10008872.300285988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2920743</v>
      </c>
      <c r="G333" t="s">
        <v>25</v>
      </c>
      <c r="J333">
        <f>J326/I326*1448696</f>
        <v>655955.59849295509</v>
      </c>
      <c r="K333">
        <f>K326/I326*1448696</f>
        <v>792740.40150704491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4585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4796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4807</v>
      </c>
      <c r="B75" s="113">
        <v>-20000</v>
      </c>
      <c r="C75" s="99" t="s">
        <v>4818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4786</v>
      </c>
      <c r="B23" s="18">
        <v>-297992</v>
      </c>
      <c r="C23" s="18">
        <v>0</v>
      </c>
      <c r="D23" s="113">
        <f t="shared" si="0"/>
        <v>-297992</v>
      </c>
      <c r="E23" s="19" t="s">
        <v>4787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4796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4815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4816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0" t="s">
        <v>1089</v>
      </c>
      <c r="R21" s="230"/>
      <c r="S21" s="230"/>
      <c r="T21" s="230"/>
      <c r="U21" s="96"/>
      <c r="V21" s="96"/>
      <c r="W21" s="96"/>
      <c r="X21" s="96"/>
      <c r="Y21" s="96"/>
      <c r="Z21" s="96"/>
    </row>
    <row r="22" spans="5:35">
      <c r="O22" s="99"/>
      <c r="P22" s="99"/>
      <c r="Q22" s="230"/>
      <c r="R22" s="230"/>
      <c r="S22" s="230"/>
      <c r="T22" s="23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1" t="s">
        <v>1090</v>
      </c>
      <c r="R23" s="232" t="s">
        <v>1091</v>
      </c>
      <c r="S23" s="231" t="s">
        <v>1092</v>
      </c>
      <c r="T23" s="233" t="s">
        <v>1093</v>
      </c>
      <c r="AD23" t="s">
        <v>25</v>
      </c>
    </row>
    <row r="24" spans="5:35">
      <c r="O24" s="99"/>
      <c r="P24" s="99"/>
      <c r="Q24" s="231"/>
      <c r="R24" s="232"/>
      <c r="S24" s="231"/>
      <c r="T24" s="23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6" sqref="A6"/>
    </sheetView>
  </sheetViews>
  <sheetFormatPr defaultRowHeight="15"/>
  <cols>
    <col min="1" max="1" width="10.7109375" bestFit="1" customWidth="1"/>
    <col min="2" max="2" width="11.42578125" bestFit="1" customWidth="1"/>
    <col min="3" max="3" width="10.42578125" bestFit="1" customWidth="1"/>
  </cols>
  <sheetData>
    <row r="1" spans="1:7">
      <c r="A1" s="99" t="s">
        <v>180</v>
      </c>
      <c r="B1" s="99" t="s">
        <v>4792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4782</v>
      </c>
      <c r="B2" s="95">
        <v>10300</v>
      </c>
      <c r="C2" s="95">
        <v>0</v>
      </c>
      <c r="D2" s="99" t="s">
        <v>4793</v>
      </c>
      <c r="E2" s="96"/>
      <c r="F2" s="96"/>
      <c r="G2" s="96"/>
    </row>
    <row r="3" spans="1:7">
      <c r="A3" s="99" t="s">
        <v>4782</v>
      </c>
      <c r="B3" s="95">
        <v>0</v>
      </c>
      <c r="C3" s="95">
        <v>5500</v>
      </c>
      <c r="D3" s="99" t="s">
        <v>4794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4807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/>
      <c r="B6" s="95"/>
      <c r="C6" s="95"/>
      <c r="D6" s="99"/>
      <c r="E6" s="96"/>
      <c r="F6" s="96"/>
      <c r="G6" s="96"/>
    </row>
    <row r="7" spans="1:7">
      <c r="A7" s="99"/>
      <c r="B7" s="95"/>
      <c r="C7" s="95"/>
      <c r="D7" s="99"/>
      <c r="E7" s="96"/>
      <c r="F7" s="96"/>
      <c r="G7" s="96"/>
    </row>
    <row r="8" spans="1:7">
      <c r="A8" s="99"/>
      <c r="B8" s="95"/>
      <c r="C8" s="95"/>
      <c r="D8" s="99"/>
      <c r="E8" s="96"/>
      <c r="F8" s="96"/>
      <c r="G8" s="96"/>
    </row>
    <row r="9" spans="1:7">
      <c r="A9" s="99"/>
      <c r="B9" s="95"/>
      <c r="C9" s="95"/>
      <c r="D9" s="99"/>
      <c r="E9" s="96"/>
      <c r="F9" s="96"/>
      <c r="G9" s="96"/>
    </row>
    <row r="10" spans="1:7">
      <c r="A10" s="99"/>
      <c r="B10" s="95"/>
      <c r="C10" s="95"/>
      <c r="D10" s="99"/>
      <c r="E10" s="96"/>
      <c r="F10" s="96"/>
      <c r="G10" s="96"/>
    </row>
    <row r="11" spans="1:7">
      <c r="A11" s="99"/>
      <c r="B11" s="95"/>
      <c r="C11" s="95"/>
      <c r="D11" s="99"/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10300</v>
      </c>
      <c r="C24" s="95">
        <f>SUM(C2:C23)</f>
        <v>7500</v>
      </c>
      <c r="D24" s="99"/>
      <c r="E24" s="96"/>
      <c r="F24" s="96"/>
      <c r="G24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7"/>
  <sheetViews>
    <sheetView tabSelected="1" topLeftCell="G67" zoomScaleNormal="100" workbookViewId="0">
      <selection activeCell="K83" sqref="K8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1724104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52114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S65</f>
        <v>147</v>
      </c>
      <c r="T20" s="168" t="s">
        <v>4309</v>
      </c>
      <c r="U20" s="168">
        <v>192.1</v>
      </c>
      <c r="V20" s="168">
        <f t="shared" ref="V20:V41" si="6">U20*(1+$N$86+$Q$15*S20/36500)</f>
        <v>215.91408438356166</v>
      </c>
      <c r="W20" s="32">
        <f t="shared" ref="W20:W33" si="7">V20*(1+$W$19/100)</f>
        <v>220.23236607123289</v>
      </c>
      <c r="X20" s="32">
        <f t="shared" ref="X20:X33" si="8">V20*(1+$X$19/100)</f>
        <v>224.55064775890412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240639681.76402515</v>
      </c>
      <c r="M21" s="168" t="s">
        <v>4301</v>
      </c>
      <c r="N21" s="113">
        <f t="shared" ref="N21:N25" si="9">O21*P21</f>
        <v>14416832.1</v>
      </c>
      <c r="O21" s="99">
        <v>82429</v>
      </c>
      <c r="P21" s="187">
        <f>P54</f>
        <v>174.9</v>
      </c>
      <c r="Q21" s="169">
        <v>595156</v>
      </c>
      <c r="R21" s="168" t="s">
        <v>4395</v>
      </c>
      <c r="S21" s="194">
        <f>S20-52</f>
        <v>95</v>
      </c>
      <c r="T21" s="168" t="s">
        <v>4398</v>
      </c>
      <c r="U21" s="168">
        <v>5808.5</v>
      </c>
      <c r="V21" s="168">
        <f t="shared" si="6"/>
        <v>6296.8595835616443</v>
      </c>
      <c r="W21" s="32">
        <f t="shared" si="7"/>
        <v>6422.7967752328777</v>
      </c>
      <c r="X21" s="32">
        <f t="shared" si="8"/>
        <v>6548.7339669041103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313</v>
      </c>
      <c r="AM21" s="113">
        <f t="shared" ref="AM21:AM120" si="11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97'!D63</f>
        <v>-741539</v>
      </c>
      <c r="M22" s="168" t="s">
        <v>4393</v>
      </c>
      <c r="N22" s="113">
        <f t="shared" si="9"/>
        <v>21419443.900000002</v>
      </c>
      <c r="O22" s="99">
        <v>6823</v>
      </c>
      <c r="P22" s="187">
        <f>P44</f>
        <v>3139.3</v>
      </c>
      <c r="Q22" s="169">
        <v>1484689</v>
      </c>
      <c r="R22" s="168" t="s">
        <v>4433</v>
      </c>
      <c r="S22" s="168">
        <f>S21-7</f>
        <v>88</v>
      </c>
      <c r="T22" s="19" t="s">
        <v>4436</v>
      </c>
      <c r="U22" s="168">
        <v>5474</v>
      </c>
      <c r="V22" s="168">
        <f t="shared" si="6"/>
        <v>5904.8412931506855</v>
      </c>
      <c r="W22" s="32">
        <f t="shared" si="7"/>
        <v>6022.9381190136992</v>
      </c>
      <c r="X22" s="32">
        <f t="shared" si="8"/>
        <v>6141.0349448767129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312</v>
      </c>
      <c r="AM22" s="113">
        <f t="shared" si="11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29895438</v>
      </c>
      <c r="O23" s="99">
        <v>57436</v>
      </c>
      <c r="P23" s="187">
        <f>P48</f>
        <v>520.5</v>
      </c>
      <c r="Q23" s="169">
        <v>2197673</v>
      </c>
      <c r="R23" s="168" t="s">
        <v>4433</v>
      </c>
      <c r="S23" s="168">
        <f>S22</f>
        <v>88</v>
      </c>
      <c r="T23" s="19" t="s">
        <v>4437</v>
      </c>
      <c r="U23" s="168">
        <v>5349</v>
      </c>
      <c r="V23" s="168">
        <f t="shared" si="6"/>
        <v>5770.0029369863023</v>
      </c>
      <c r="W23" s="32">
        <f>V23*(1+$W$19/100)</f>
        <v>5885.4029957260282</v>
      </c>
      <c r="X23" s="32">
        <f t="shared" si="8"/>
        <v>6000.8030544657549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311</v>
      </c>
      <c r="AM23" s="113">
        <f t="shared" si="11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317669652.76402515</v>
      </c>
      <c r="G24" s="95">
        <f t="shared" si="0"/>
        <v>-37363307.382086515</v>
      </c>
      <c r="H24" s="11"/>
      <c r="I24" s="96"/>
      <c r="J24" s="96"/>
      <c r="K24" s="219"/>
      <c r="L24" s="117"/>
      <c r="M24" s="219" t="s">
        <v>4546</v>
      </c>
      <c r="N24" s="113">
        <f t="shared" si="9"/>
        <v>18528515</v>
      </c>
      <c r="O24" s="99">
        <v>4757</v>
      </c>
      <c r="P24" s="187">
        <f>P49</f>
        <v>3895</v>
      </c>
      <c r="Q24" s="169">
        <v>1353959</v>
      </c>
      <c r="R24" s="168" t="s">
        <v>4433</v>
      </c>
      <c r="S24" s="200">
        <f>S23</f>
        <v>88</v>
      </c>
      <c r="T24" s="19" t="s">
        <v>4479</v>
      </c>
      <c r="U24" s="168">
        <v>192.2</v>
      </c>
      <c r="V24" s="168">
        <f t="shared" si="6"/>
        <v>207.32745643835619</v>
      </c>
      <c r="W24" s="32">
        <f t="shared" si="7"/>
        <v>211.47400556712333</v>
      </c>
      <c r="X24" s="32">
        <f t="shared" si="8"/>
        <v>215.62055469589046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310</v>
      </c>
      <c r="AM24" s="113">
        <f t="shared" si="11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4315867.1999999993</v>
      </c>
      <c r="O25" s="99">
        <v>828</v>
      </c>
      <c r="P25" s="99">
        <f>P47</f>
        <v>5212.3999999999996</v>
      </c>
      <c r="Q25" s="169">
        <v>1614398</v>
      </c>
      <c r="R25" s="168" t="s">
        <v>4441</v>
      </c>
      <c r="S25" s="168">
        <f>S24-3</f>
        <v>85</v>
      </c>
      <c r="T25" s="19" t="s">
        <v>4516</v>
      </c>
      <c r="U25" s="168">
        <v>184.6</v>
      </c>
      <c r="V25" s="168">
        <f t="shared" si="6"/>
        <v>198.7044515068493</v>
      </c>
      <c r="W25" s="32">
        <f t="shared" si="7"/>
        <v>202.67854053698628</v>
      </c>
      <c r="X25" s="32">
        <f t="shared" si="8"/>
        <v>206.65262956712328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298</v>
      </c>
      <c r="AM25" s="113">
        <f t="shared" si="11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63</v>
      </c>
      <c r="T26" s="168" t="s">
        <v>4524</v>
      </c>
      <c r="U26" s="168">
        <v>166.2</v>
      </c>
      <c r="V26" s="168">
        <f t="shared" si="6"/>
        <v>176.09368109589042</v>
      </c>
      <c r="W26" s="32">
        <f t="shared" si="7"/>
        <v>179.61555471780824</v>
      </c>
      <c r="X26" s="32">
        <f t="shared" si="8"/>
        <v>183.13742833972603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292</v>
      </c>
      <c r="AM26" s="113">
        <f t="shared" si="11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62</v>
      </c>
      <c r="T27" s="168" t="s">
        <v>4530</v>
      </c>
      <c r="U27" s="168">
        <v>166</v>
      </c>
      <c r="V27" s="168">
        <f t="shared" si="6"/>
        <v>175.75443287671231</v>
      </c>
      <c r="W27" s="32">
        <f t="shared" si="7"/>
        <v>179.26952153424656</v>
      </c>
      <c r="X27" s="32">
        <f t="shared" si="8"/>
        <v>182.78461019178081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291</v>
      </c>
      <c r="AM27" s="113">
        <f t="shared" si="11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244982.8</v>
      </c>
      <c r="O28" s="69">
        <v>47</v>
      </c>
      <c r="P28" s="99">
        <f>P47</f>
        <v>5212.3999999999996</v>
      </c>
      <c r="Q28" s="169">
        <v>1023940</v>
      </c>
      <c r="R28" s="168" t="s">
        <v>4531</v>
      </c>
      <c r="S28" s="199">
        <f>S27-2</f>
        <v>60</v>
      </c>
      <c r="T28" s="168" t="s">
        <v>4537</v>
      </c>
      <c r="U28" s="168">
        <v>160.19999999999999</v>
      </c>
      <c r="V28" s="168">
        <f t="shared" si="6"/>
        <v>169.36782904109592</v>
      </c>
      <c r="W28" s="32">
        <f t="shared" si="7"/>
        <v>172.75518562191783</v>
      </c>
      <c r="X28" s="32">
        <f t="shared" si="8"/>
        <v>176.14254220273975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290</v>
      </c>
      <c r="AM28" s="113">
        <f t="shared" si="11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335905.10000000003</v>
      </c>
      <c r="O29" s="69">
        <v>107</v>
      </c>
      <c r="P29" s="99">
        <f>P44</f>
        <v>3139.3</v>
      </c>
      <c r="Q29" s="169">
        <v>168846</v>
      </c>
      <c r="R29" s="168" t="s">
        <v>3691</v>
      </c>
      <c r="S29" s="199">
        <f>S28-28</f>
        <v>32</v>
      </c>
      <c r="T29" s="168" t="s">
        <v>4636</v>
      </c>
      <c r="U29" s="168">
        <v>172.2</v>
      </c>
      <c r="V29" s="168">
        <f t="shared" si="6"/>
        <v>178.35579616438358</v>
      </c>
      <c r="W29" s="32">
        <f t="shared" si="7"/>
        <v>181.92291208767125</v>
      </c>
      <c r="X29" s="32">
        <f t="shared" si="8"/>
        <v>185.49002801095892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285</v>
      </c>
      <c r="AM29" s="113">
        <f t="shared" si="11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363309</v>
      </c>
      <c r="O30" s="69">
        <v>698</v>
      </c>
      <c r="P30" s="99">
        <f>P48</f>
        <v>520.5</v>
      </c>
      <c r="Q30" s="169">
        <v>250962</v>
      </c>
      <c r="R30" s="168" t="s">
        <v>4682</v>
      </c>
      <c r="S30" s="199">
        <f>S29-10</f>
        <v>22</v>
      </c>
      <c r="T30" s="168" t="s">
        <v>4683</v>
      </c>
      <c r="U30" s="168">
        <v>5315.5</v>
      </c>
      <c r="V30" s="168">
        <f t="shared" si="6"/>
        <v>5464.7417643835624</v>
      </c>
      <c r="W30" s="32">
        <f t="shared" si="7"/>
        <v>5574.0365996712335</v>
      </c>
      <c r="X30" s="32">
        <f t="shared" si="8"/>
        <v>5683.3314349589054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284</v>
      </c>
      <c r="AM30" s="113">
        <f t="shared" si="11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3031891.5</v>
      </c>
      <c r="O31" s="69">
        <v>17335</v>
      </c>
      <c r="P31" s="99">
        <f>P54</f>
        <v>174.9</v>
      </c>
      <c r="Q31" s="169">
        <v>350718</v>
      </c>
      <c r="R31" s="219" t="s">
        <v>4739</v>
      </c>
      <c r="S31" s="199">
        <f>S30-7</f>
        <v>15</v>
      </c>
      <c r="T31" s="219" t="s">
        <v>4740</v>
      </c>
      <c r="U31" s="219">
        <v>502.3</v>
      </c>
      <c r="V31" s="219">
        <f t="shared" si="6"/>
        <v>513.70565041095892</v>
      </c>
      <c r="W31" s="32">
        <f t="shared" si="7"/>
        <v>523.97976341917808</v>
      </c>
      <c r="X31" s="32">
        <f t="shared" si="8"/>
        <v>534.25387642739724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1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0</v>
      </c>
      <c r="T32" s="219" t="s">
        <v>4795</v>
      </c>
      <c r="U32" s="219">
        <v>486.4</v>
      </c>
      <c r="V32" s="219">
        <f t="shared" si="6"/>
        <v>491.84768000000003</v>
      </c>
      <c r="W32" s="32">
        <f t="shared" si="7"/>
        <v>501.68463360000004</v>
      </c>
      <c r="X32" s="32">
        <f t="shared" si="8"/>
        <v>511.52158720000006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278</v>
      </c>
      <c r="AM32" s="113">
        <f t="shared" si="11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4796</v>
      </c>
      <c r="S33" s="199">
        <f>S32-1</f>
        <v>-1</v>
      </c>
      <c r="T33" s="219" t="s">
        <v>4797</v>
      </c>
      <c r="U33" s="219">
        <v>476.1</v>
      </c>
      <c r="V33" s="219">
        <f t="shared" si="6"/>
        <v>481.06709260273982</v>
      </c>
      <c r="W33" s="32">
        <f t="shared" si="7"/>
        <v>490.68843445479462</v>
      </c>
      <c r="X33" s="32">
        <f t="shared" si="8"/>
        <v>500.30977630684941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262</v>
      </c>
      <c r="AM33" s="113">
        <f t="shared" si="11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-S138</f>
        <v>-240639681.76402515</v>
      </c>
      <c r="O34" s="96" t="s">
        <v>25</v>
      </c>
      <c r="P34" s="96" t="s">
        <v>25</v>
      </c>
      <c r="Q34" s="169">
        <v>10881161</v>
      </c>
      <c r="R34" s="219" t="s">
        <v>4796</v>
      </c>
      <c r="S34" s="199">
        <f>S33</f>
        <v>-1</v>
      </c>
      <c r="T34" s="219" t="s">
        <v>4798</v>
      </c>
      <c r="U34" s="219">
        <v>3095</v>
      </c>
      <c r="V34" s="219">
        <f t="shared" si="6"/>
        <v>3127.2897534246581</v>
      </c>
      <c r="W34" s="32">
        <f t="shared" ref="W34:W41" si="13">V34*(1+$W$19/100)</f>
        <v>3189.8355484931512</v>
      </c>
      <c r="X34" s="32">
        <f t="shared" ref="X34:X41" si="14">V34*(1+$X$19/100)</f>
        <v>3252.3813435616444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262</v>
      </c>
      <c r="AM34" s="113">
        <f t="shared" si="11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4796</v>
      </c>
      <c r="S35" s="199">
        <f>S34</f>
        <v>-1</v>
      </c>
      <c r="T35" s="219" t="s">
        <v>4799</v>
      </c>
      <c r="U35" s="219">
        <v>168.8</v>
      </c>
      <c r="V35" s="219">
        <f t="shared" si="6"/>
        <v>170.56106958904113</v>
      </c>
      <c r="W35" s="32">
        <f t="shared" si="13"/>
        <v>173.97229098082195</v>
      </c>
      <c r="X35" s="32">
        <f t="shared" si="14"/>
        <v>177.38351237260278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250</v>
      </c>
      <c r="AM35" s="113">
        <f t="shared" si="11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فیزیکی'!M42*10*P55</f>
        <v>120050000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4796</v>
      </c>
      <c r="S36" s="199">
        <f>S35</f>
        <v>-1</v>
      </c>
      <c r="T36" s="219" t="s">
        <v>4800</v>
      </c>
      <c r="U36" s="219">
        <v>3859.8</v>
      </c>
      <c r="V36" s="219">
        <f t="shared" si="6"/>
        <v>3900.0688175342475</v>
      </c>
      <c r="W36" s="32">
        <f t="shared" si="13"/>
        <v>3978.0701938849325</v>
      </c>
      <c r="X36" s="32">
        <f t="shared" si="14"/>
        <v>4056.0715702356174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248</v>
      </c>
      <c r="AM36" s="113">
        <f t="shared" si="11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4807</v>
      </c>
      <c r="S37" s="199">
        <f>S36-1</f>
        <v>-2</v>
      </c>
      <c r="T37" s="219" t="s">
        <v>4811</v>
      </c>
      <c r="U37" s="219">
        <v>3099.2</v>
      </c>
      <c r="V37" s="219">
        <f t="shared" si="6"/>
        <v>3129.1561030136986</v>
      </c>
      <c r="W37" s="32">
        <f t="shared" si="13"/>
        <v>3191.7392250739726</v>
      </c>
      <c r="X37" s="32">
        <f t="shared" si="14"/>
        <v>3254.3223471342467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248</v>
      </c>
      <c r="AM37" s="113">
        <f t="shared" si="11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فیزیکی'!M41+3)*10*P55</f>
        <v>110446000</v>
      </c>
      <c r="O38" s="96"/>
      <c r="P38" s="96" t="s">
        <v>25</v>
      </c>
      <c r="Q38" s="169">
        <v>13402013</v>
      </c>
      <c r="R38" s="219" t="s">
        <v>4807</v>
      </c>
      <c r="S38" s="199">
        <f>S37</f>
        <v>-2</v>
      </c>
      <c r="T38" s="219" t="s">
        <v>4812</v>
      </c>
      <c r="U38" s="219">
        <v>3853.3</v>
      </c>
      <c r="V38" s="219">
        <f t="shared" si="6"/>
        <v>3890.5450476712331</v>
      </c>
      <c r="W38" s="32">
        <f t="shared" si="13"/>
        <v>3968.3559486246577</v>
      </c>
      <c r="X38" s="32">
        <f t="shared" si="14"/>
        <v>4046.1668495780827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247</v>
      </c>
      <c r="AM38" s="113">
        <f t="shared" si="11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>
        <v>138358</v>
      </c>
      <c r="R39" s="219" t="s">
        <v>4820</v>
      </c>
      <c r="S39" s="199">
        <f>S38-1</f>
        <v>-3</v>
      </c>
      <c r="T39" s="219" t="s">
        <v>4821</v>
      </c>
      <c r="U39" s="219">
        <v>3130</v>
      </c>
      <c r="V39" s="219">
        <f t="shared" si="6"/>
        <v>3157.8527123287677</v>
      </c>
      <c r="W39" s="32">
        <f t="shared" si="13"/>
        <v>3221.0097665753433</v>
      </c>
      <c r="X39" s="32">
        <f t="shared" si="14"/>
        <v>3284.1668208219185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243</v>
      </c>
      <c r="AM39" s="113">
        <f t="shared" si="11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/>
      <c r="R40" s="219"/>
      <c r="S40" s="199"/>
      <c r="T40" s="219"/>
      <c r="U40" s="219"/>
      <c r="V40" s="219"/>
      <c r="W40" s="32"/>
      <c r="X40" s="32"/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240</v>
      </c>
      <c r="AM40" s="113">
        <f t="shared" si="11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/>
      <c r="R41" s="168"/>
      <c r="S41" s="168"/>
      <c r="T41" s="168"/>
      <c r="U41" s="168"/>
      <c r="V41" s="219">
        <f t="shared" si="6"/>
        <v>0</v>
      </c>
      <c r="W41" s="32">
        <f t="shared" si="13"/>
        <v>0</v>
      </c>
      <c r="X41" s="32">
        <f t="shared" si="14"/>
        <v>0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236</v>
      </c>
      <c r="AM41" s="113">
        <f t="shared" si="11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1718</v>
      </c>
      <c r="P42" t="s">
        <v>25</v>
      </c>
      <c r="Q42" s="169">
        <f>SUM(N21:N25)-SUM(Q20:Q41)</f>
        <v>1179800.200000003</v>
      </c>
      <c r="R42" s="168"/>
      <c r="S42" s="168" t="s">
        <v>25</v>
      </c>
      <c r="T42" s="168"/>
      <c r="U42" s="168"/>
      <c r="V42" s="168"/>
      <c r="W42" s="32"/>
      <c r="X42" s="32"/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235</v>
      </c>
      <c r="AM42" s="113">
        <f t="shared" si="11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R43" s="115"/>
      <c r="S43" s="115" t="s">
        <v>25</v>
      </c>
      <c r="T43" s="115"/>
      <c r="U43" s="115"/>
      <c r="V43" s="115"/>
      <c r="W43" s="196"/>
      <c r="X43" s="196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235</v>
      </c>
      <c r="AM43" s="113">
        <f t="shared" si="11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72326332.700000003</v>
      </c>
      <c r="O44" s="99">
        <v>23039</v>
      </c>
      <c r="P44" s="99">
        <v>3139.3</v>
      </c>
      <c r="Q44" s="96"/>
      <c r="R44" s="115"/>
      <c r="S44" s="115"/>
      <c r="T44" s="115" t="s">
        <v>25</v>
      </c>
      <c r="U44" s="115"/>
      <c r="V44" s="115"/>
      <c r="W44" s="196"/>
      <c r="X44" s="196"/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234</v>
      </c>
      <c r="AM44" s="113">
        <f t="shared" si="11"/>
        <v>25740000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4780</v>
      </c>
      <c r="L45" s="117">
        <v>-1600000</v>
      </c>
      <c r="M45" s="21" t="s">
        <v>4595</v>
      </c>
      <c r="N45" s="117">
        <f t="shared" ref="N45:N55" si="15">O45*P45</f>
        <v>685800</v>
      </c>
      <c r="O45" s="69">
        <v>2000</v>
      </c>
      <c r="P45" s="69">
        <v>342.9</v>
      </c>
      <c r="Q45" s="168" t="s">
        <v>657</v>
      </c>
      <c r="R45" s="168"/>
      <c r="S45" s="168"/>
      <c r="T45" s="168"/>
      <c r="U45" s="168"/>
      <c r="V45" s="168"/>
      <c r="W45" s="32"/>
      <c r="X45" s="32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233</v>
      </c>
      <c r="AM45" s="113">
        <f t="shared" si="11"/>
        <v>88540000</v>
      </c>
      <c r="AN45" s="99"/>
      <c r="AQ45" s="96"/>
      <c r="AR45" s="96"/>
      <c r="AS45" s="96"/>
      <c r="AV45" s="96"/>
    </row>
    <row r="46" spans="1:54" ht="30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1148900</v>
      </c>
      <c r="O46" s="69">
        <v>1000</v>
      </c>
      <c r="P46" s="69">
        <v>1148.9000000000001</v>
      </c>
      <c r="Q46" s="168" t="s">
        <v>267</v>
      </c>
      <c r="R46" s="168" t="s">
        <v>180</v>
      </c>
      <c r="S46" s="168" t="s">
        <v>183</v>
      </c>
      <c r="T46" s="168" t="s">
        <v>8</v>
      </c>
      <c r="U46" s="168" t="s">
        <v>4365</v>
      </c>
      <c r="V46" s="73" t="s">
        <v>4367</v>
      </c>
      <c r="W46" s="32">
        <v>2</v>
      </c>
      <c r="X46" s="32">
        <v>4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226</v>
      </c>
      <c r="AM46" s="113">
        <f t="shared" si="11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109981639.99999999</v>
      </c>
      <c r="O47" s="69">
        <v>21100</v>
      </c>
      <c r="P47" s="69">
        <v>5212.3999999999996</v>
      </c>
      <c r="Q47" s="168">
        <v>0</v>
      </c>
      <c r="R47" s="168" t="s">
        <v>4172</v>
      </c>
      <c r="S47" s="168">
        <f>S65</f>
        <v>147</v>
      </c>
      <c r="T47" s="168"/>
      <c r="U47" s="168"/>
      <c r="V47" s="73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220</v>
      </c>
      <c r="AM47" s="113">
        <f t="shared" si="11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57929047.5</v>
      </c>
      <c r="O48" s="69">
        <v>111295</v>
      </c>
      <c r="P48" s="69">
        <v>520.5</v>
      </c>
      <c r="Q48" s="169">
        <v>863944</v>
      </c>
      <c r="R48" s="168" t="s">
        <v>4441</v>
      </c>
      <c r="S48" s="168">
        <f>S47-62</f>
        <v>85</v>
      </c>
      <c r="T48" s="192" t="s">
        <v>4517</v>
      </c>
      <c r="U48" s="168">
        <v>184.6</v>
      </c>
      <c r="V48" s="168">
        <f t="shared" ref="V48:V56" si="16">U48*(1+$N$86+$Q$15*S48/36500)</f>
        <v>198.7044515068493</v>
      </c>
      <c r="W48" s="32">
        <f t="shared" ref="W48:W56" si="17">V48*(1+$W$19/100)</f>
        <v>202.67854053698628</v>
      </c>
      <c r="X48" s="32">
        <f t="shared" ref="X48:X56" si="18">V48*(1+$X$19/100)</f>
        <v>206.65262956712328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219</v>
      </c>
      <c r="AM48" s="113">
        <f t="shared" si="11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3711935</v>
      </c>
      <c r="O49" s="69">
        <v>953</v>
      </c>
      <c r="P49" s="69">
        <v>3895</v>
      </c>
      <c r="Q49" s="169">
        <v>1692313</v>
      </c>
      <c r="R49" s="168" t="s">
        <v>4520</v>
      </c>
      <c r="S49" s="199">
        <f>S48-21</f>
        <v>64</v>
      </c>
      <c r="T49" s="191" t="s">
        <v>4521</v>
      </c>
      <c r="U49" s="168">
        <v>168.5</v>
      </c>
      <c r="V49" s="168">
        <f t="shared" si="16"/>
        <v>178.65985753424658</v>
      </c>
      <c r="W49" s="32">
        <f t="shared" si="17"/>
        <v>182.23305468493152</v>
      </c>
      <c r="X49" s="32">
        <f t="shared" si="18"/>
        <v>185.80625183561645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1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13650318</v>
      </c>
      <c r="O50" s="69">
        <v>2913</v>
      </c>
      <c r="P50" s="69">
        <v>4686</v>
      </c>
      <c r="Q50" s="169">
        <v>101153</v>
      </c>
      <c r="R50" s="168" t="s">
        <v>4523</v>
      </c>
      <c r="S50" s="199">
        <f>S49-1</f>
        <v>63</v>
      </c>
      <c r="T50" s="191" t="s">
        <v>4525</v>
      </c>
      <c r="U50" s="168">
        <v>166.7</v>
      </c>
      <c r="V50" s="168">
        <f t="shared" si="16"/>
        <v>176.62344547945207</v>
      </c>
      <c r="W50" s="32">
        <f t="shared" si="17"/>
        <v>180.15591438904113</v>
      </c>
      <c r="X50" s="32">
        <f t="shared" si="18"/>
        <v>183.68838329863016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216</v>
      </c>
      <c r="AM50" s="113">
        <f t="shared" si="11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3372120</v>
      </c>
      <c r="O51" s="69">
        <v>5100</v>
      </c>
      <c r="P51" s="69">
        <v>661.2</v>
      </c>
      <c r="Q51" s="169">
        <v>183105</v>
      </c>
      <c r="R51" s="168" t="s">
        <v>4231</v>
      </c>
      <c r="S51" s="199">
        <f>S50-1</f>
        <v>62</v>
      </c>
      <c r="T51" s="191" t="s">
        <v>4529</v>
      </c>
      <c r="U51" s="168">
        <v>166.6</v>
      </c>
      <c r="V51" s="168">
        <f t="shared" si="16"/>
        <v>176.3896898630137</v>
      </c>
      <c r="W51" s="32">
        <f t="shared" si="17"/>
        <v>179.91748366027397</v>
      </c>
      <c r="X51" s="32">
        <f t="shared" si="18"/>
        <v>183.44527745753425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214</v>
      </c>
      <c r="AM51" s="113">
        <f t="shared" si="11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200555.59999999998</v>
      </c>
      <c r="O52" s="69">
        <v>1148</v>
      </c>
      <c r="P52" s="69">
        <v>174.7</v>
      </c>
      <c r="Q52" s="169">
        <v>168846</v>
      </c>
      <c r="R52" s="168" t="s">
        <v>3691</v>
      </c>
      <c r="S52" s="199">
        <f>S51-30</f>
        <v>32</v>
      </c>
      <c r="T52" s="191" t="s">
        <v>4636</v>
      </c>
      <c r="U52" s="168">
        <v>172.2</v>
      </c>
      <c r="V52" s="168">
        <f t="shared" si="16"/>
        <v>178.35579616438358</v>
      </c>
      <c r="W52" s="32">
        <f t="shared" si="17"/>
        <v>181.92291208767125</v>
      </c>
      <c r="X52" s="32">
        <f t="shared" si="18"/>
        <v>185.49002801095892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200</v>
      </c>
      <c r="AM52" s="113">
        <f t="shared" si="11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1163250</v>
      </c>
      <c r="O53" s="69">
        <v>5500</v>
      </c>
      <c r="P53" s="69">
        <v>211.5</v>
      </c>
      <c r="Q53" s="169">
        <v>250962</v>
      </c>
      <c r="R53" s="168" t="s">
        <v>4682</v>
      </c>
      <c r="S53" s="199">
        <f>S52-10</f>
        <v>22</v>
      </c>
      <c r="T53" s="191" t="s">
        <v>4683</v>
      </c>
      <c r="U53" s="168">
        <v>5315.5</v>
      </c>
      <c r="V53" s="168">
        <f t="shared" si="16"/>
        <v>5464.7417643835624</v>
      </c>
      <c r="W53" s="32">
        <f t="shared" si="17"/>
        <v>5574.0365996712335</v>
      </c>
      <c r="X53" s="32">
        <f t="shared" si="18"/>
        <v>5683.3314349589054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199</v>
      </c>
      <c r="AM53" s="113">
        <f t="shared" si="11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221517321.30000001</v>
      </c>
      <c r="O54" s="99">
        <v>1266537</v>
      </c>
      <c r="P54" s="99">
        <v>174.9</v>
      </c>
      <c r="Q54" s="169">
        <v>352231</v>
      </c>
      <c r="R54" s="219" t="s">
        <v>4739</v>
      </c>
      <c r="S54" s="199">
        <f>S53-7</f>
        <v>15</v>
      </c>
      <c r="T54" s="191" t="s">
        <v>4741</v>
      </c>
      <c r="U54" s="219">
        <v>502.3</v>
      </c>
      <c r="V54" s="219">
        <f t="shared" si="16"/>
        <v>513.70565041095892</v>
      </c>
      <c r="W54" s="32">
        <f t="shared" si="17"/>
        <v>523.97976341917808</v>
      </c>
      <c r="X54" s="32">
        <f t="shared" si="18"/>
        <v>534.25387642739724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195</v>
      </c>
      <c r="AM54" s="113">
        <f t="shared" si="11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14406000</v>
      </c>
      <c r="O55" s="69">
        <v>30</v>
      </c>
      <c r="P55" s="69">
        <v>480200</v>
      </c>
      <c r="Q55" s="169">
        <v>165067</v>
      </c>
      <c r="R55" s="219" t="s">
        <v>4796</v>
      </c>
      <c r="S55" s="199">
        <f>S54-16</f>
        <v>-1</v>
      </c>
      <c r="T55" s="191" t="s">
        <v>4805</v>
      </c>
      <c r="U55" s="219">
        <v>3095.9</v>
      </c>
      <c r="V55" s="219">
        <f t="shared" si="16"/>
        <v>3128.1991430136991</v>
      </c>
      <c r="W55" s="32">
        <f t="shared" si="17"/>
        <v>3190.763125873973</v>
      </c>
      <c r="X55" s="32">
        <f t="shared" si="18"/>
        <v>3253.3271087342473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193</v>
      </c>
      <c r="AM55" s="170">
        <f t="shared" si="11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/>
      <c r="R56" s="168"/>
      <c r="S56" s="113"/>
      <c r="T56" s="113"/>
      <c r="U56" s="168"/>
      <c r="V56" s="168">
        <f t="shared" si="16"/>
        <v>0</v>
      </c>
      <c r="W56" s="32">
        <f t="shared" si="17"/>
        <v>0</v>
      </c>
      <c r="X56" s="32">
        <f t="shared" si="18"/>
        <v>0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191</v>
      </c>
      <c r="AM56" s="113">
        <f t="shared" si="11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13">
        <f>SUM(N28:N31)-SUM(Q47:Q56)</f>
        <v>198467.39999999991</v>
      </c>
      <c r="R57" s="168"/>
      <c r="S57" s="168"/>
      <c r="T57" s="168"/>
      <c r="U57" s="168"/>
      <c r="V57" s="168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191</v>
      </c>
      <c r="AM57" s="113">
        <f t="shared" si="11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R58" s="115"/>
      <c r="S58" s="115"/>
      <c r="T58" s="115" t="s">
        <v>25</v>
      </c>
      <c r="U58" s="115"/>
      <c r="V58" s="115"/>
      <c r="W58" s="196"/>
      <c r="X58" s="196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190</v>
      </c>
      <c r="AM58" s="113">
        <f t="shared" si="11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t="s">
        <v>25</v>
      </c>
      <c r="S59" s="26" t="s">
        <v>25</v>
      </c>
      <c r="T59" t="s">
        <v>25</v>
      </c>
      <c r="U59" s="96" t="s">
        <v>25</v>
      </c>
      <c r="V59" s="115" t="s">
        <v>25</v>
      </c>
      <c r="W59" s="196"/>
      <c r="X59" s="196"/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175</v>
      </c>
      <c r="AM59" s="172">
        <f t="shared" si="11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-14476997.700000001</v>
      </c>
      <c r="O60" s="99">
        <v>82773</v>
      </c>
      <c r="P60" s="99">
        <f>P54</f>
        <v>174.9</v>
      </c>
      <c r="Q60" t="s">
        <v>25</v>
      </c>
      <c r="T60" t="s">
        <v>25</v>
      </c>
      <c r="W60" s="196"/>
      <c r="X60" s="196"/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169</v>
      </c>
      <c r="AM60" s="113">
        <f t="shared" si="11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T61" t="s">
        <v>25</v>
      </c>
      <c r="U61" s="96" t="s">
        <v>25</v>
      </c>
      <c r="W61" s="196"/>
      <c r="X61" s="196"/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166</v>
      </c>
      <c r="AM61" s="113">
        <f t="shared" si="11"/>
        <v>83000000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W62" s="196"/>
      <c r="X62" s="196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1"/>
        <v>33000000</v>
      </c>
      <c r="AN62" s="20"/>
    </row>
    <row r="63" spans="1:40" ht="30">
      <c r="E63" s="26"/>
      <c r="K63" s="168"/>
      <c r="L63" s="117"/>
      <c r="M63" s="168" t="s">
        <v>4449</v>
      </c>
      <c r="N63" s="113">
        <f>-S139</f>
        <v>-14315067.846899584</v>
      </c>
      <c r="Q63" s="73" t="s">
        <v>4295</v>
      </c>
      <c r="R63" s="112"/>
      <c r="S63" s="112"/>
      <c r="T63" s="112"/>
      <c r="U63" s="168" t="s">
        <v>4365</v>
      </c>
      <c r="V63" s="36" t="s">
        <v>4367</v>
      </c>
      <c r="W63" s="32"/>
      <c r="X63" s="32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162</v>
      </c>
      <c r="AM63" s="113">
        <f t="shared" si="11"/>
        <v>162000000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24010000</v>
      </c>
      <c r="P64" t="s">
        <v>25</v>
      </c>
      <c r="Q64" s="112" t="s">
        <v>267</v>
      </c>
      <c r="R64" s="112" t="s">
        <v>180</v>
      </c>
      <c r="S64" s="112" t="s">
        <v>183</v>
      </c>
      <c r="T64" s="112" t="s">
        <v>8</v>
      </c>
      <c r="U64" s="168"/>
      <c r="V64" s="99"/>
      <c r="W64" s="32">
        <v>2</v>
      </c>
      <c r="X64" s="32">
        <v>4</v>
      </c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1"/>
        <v>206700000</v>
      </c>
      <c r="AN64" s="20"/>
    </row>
    <row r="65" spans="1:40">
      <c r="K65" s="168"/>
      <c r="L65" s="117"/>
      <c r="M65" s="168"/>
      <c r="N65" s="113"/>
      <c r="Q65" s="35">
        <v>184971545</v>
      </c>
      <c r="R65" s="5" t="s">
        <v>4172</v>
      </c>
      <c r="S65" s="5">
        <v>147</v>
      </c>
      <c r="T65" s="5" t="s">
        <v>4348</v>
      </c>
      <c r="U65" s="168">
        <v>192</v>
      </c>
      <c r="V65" s="99">
        <f t="shared" ref="V65:V96" si="19">U65*(1+$N$86+$Q$15*S65/36500)</f>
        <v>215.80168767123291</v>
      </c>
      <c r="W65" s="32">
        <f t="shared" ref="W65:W87" si="20">V65*(1+$W$19/100)</f>
        <v>220.11772142465756</v>
      </c>
      <c r="X65" s="32">
        <f t="shared" ref="X65:X87" si="21">V65*(1+$X$19/100)</f>
        <v>224.43375517808224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2">AL66+AK65</f>
        <v>159</v>
      </c>
      <c r="AM65" s="113">
        <f t="shared" si="11"/>
        <v>158205000</v>
      </c>
      <c r="AN65" s="20"/>
    </row>
    <row r="66" spans="1:40">
      <c r="K66" s="168" t="s">
        <v>598</v>
      </c>
      <c r="L66" s="113">
        <f>SUM(L16:L51)</f>
        <v>317669652.76402515</v>
      </c>
      <c r="M66" s="168"/>
      <c r="N66" s="113">
        <f>SUM(N16:N65)</f>
        <v>398819664.38907528</v>
      </c>
      <c r="Q66" s="35">
        <v>9560464</v>
      </c>
      <c r="R66" s="5" t="s">
        <v>4299</v>
      </c>
      <c r="S66" s="5">
        <f>S65-31</f>
        <v>116</v>
      </c>
      <c r="T66" s="5" t="s">
        <v>4312</v>
      </c>
      <c r="U66" s="168">
        <v>214.57</v>
      </c>
      <c r="V66" s="99">
        <f t="shared" si="19"/>
        <v>236.06697468493152</v>
      </c>
      <c r="W66" s="32">
        <f t="shared" si="20"/>
        <v>240.78831417863015</v>
      </c>
      <c r="X66" s="32">
        <f t="shared" si="21"/>
        <v>245.5096536723288</v>
      </c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2"/>
        <v>157</v>
      </c>
      <c r="AM66" s="113">
        <f t="shared" si="11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2337409</v>
      </c>
      <c r="Q67" s="35">
        <v>2000000</v>
      </c>
      <c r="R67" s="5" t="s">
        <v>4343</v>
      </c>
      <c r="S67" s="5">
        <f>S66-11</f>
        <v>105</v>
      </c>
      <c r="T67" s="5" t="s">
        <v>4347</v>
      </c>
      <c r="U67" s="168">
        <v>206.8</v>
      </c>
      <c r="V67" s="99">
        <f t="shared" si="19"/>
        <v>225.77347506849316</v>
      </c>
      <c r="W67" s="32">
        <f t="shared" si="20"/>
        <v>230.28894456986302</v>
      </c>
      <c r="X67" s="32">
        <f t="shared" si="21"/>
        <v>234.80441407123288</v>
      </c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2"/>
        <v>155</v>
      </c>
      <c r="AM67" s="113">
        <f t="shared" si="11"/>
        <v>-480500000</v>
      </c>
      <c r="AN67" s="20"/>
    </row>
    <row r="68" spans="1:40">
      <c r="F68" t="s">
        <v>4103</v>
      </c>
      <c r="G68" t="s">
        <v>4098</v>
      </c>
      <c r="K68" s="56" t="s">
        <v>716</v>
      </c>
      <c r="L68" s="1">
        <f>L66+N7</f>
        <v>387669652.76402515</v>
      </c>
      <c r="M68" s="113"/>
      <c r="N68" s="168"/>
      <c r="O68" s="115"/>
      <c r="P68" s="115"/>
      <c r="Q68" s="35">
        <v>1429825</v>
      </c>
      <c r="R68" s="5" t="s">
        <v>4374</v>
      </c>
      <c r="S68" s="5">
        <f>S67-7</f>
        <v>98</v>
      </c>
      <c r="T68" s="5" t="s">
        <v>4383</v>
      </c>
      <c r="U68" s="168">
        <v>203.9</v>
      </c>
      <c r="V68" s="99">
        <f t="shared" si="19"/>
        <v>221.51249095890415</v>
      </c>
      <c r="W68" s="32">
        <f t="shared" si="20"/>
        <v>225.94274077808223</v>
      </c>
      <c r="X68" s="32">
        <f t="shared" si="21"/>
        <v>230.37299059726033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2"/>
        <v>152</v>
      </c>
      <c r="AM68" s="113">
        <f t="shared" si="11"/>
        <v>6937280000</v>
      </c>
      <c r="AN68" s="20"/>
    </row>
    <row r="69" spans="1:40">
      <c r="F69" t="s">
        <v>4104</v>
      </c>
      <c r="G69" t="s">
        <v>4100</v>
      </c>
      <c r="O69" s="96"/>
      <c r="P69" s="96"/>
      <c r="Q69" s="35">
        <v>1420747</v>
      </c>
      <c r="R69" s="5" t="s">
        <v>4374</v>
      </c>
      <c r="S69" s="5">
        <f>S68</f>
        <v>98</v>
      </c>
      <c r="T69" s="5" t="s">
        <v>4385</v>
      </c>
      <c r="U69" s="168">
        <v>203.1</v>
      </c>
      <c r="V69" s="99">
        <f t="shared" si="19"/>
        <v>220.64338849315072</v>
      </c>
      <c r="W69" s="32">
        <f t="shared" si="20"/>
        <v>225.05625626301375</v>
      </c>
      <c r="X69" s="32">
        <f t="shared" si="21"/>
        <v>229.46912403287675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2"/>
        <v>151</v>
      </c>
      <c r="AM69" s="113">
        <f t="shared" si="11"/>
        <v>5058500000</v>
      </c>
      <c r="AN69" s="20"/>
    </row>
    <row r="70" spans="1:40">
      <c r="G70" t="s">
        <v>4101</v>
      </c>
      <c r="M70" s="25"/>
      <c r="O70" t="s">
        <v>25</v>
      </c>
      <c r="Q70" s="35">
        <v>2412371</v>
      </c>
      <c r="R70" s="5" t="s">
        <v>4376</v>
      </c>
      <c r="S70" s="5">
        <f>S69-1</f>
        <v>97</v>
      </c>
      <c r="T70" s="5" t="s">
        <v>4392</v>
      </c>
      <c r="U70" s="168">
        <v>3930</v>
      </c>
      <c r="V70" s="99">
        <f t="shared" si="19"/>
        <v>4266.4510684931511</v>
      </c>
      <c r="W70" s="32">
        <f t="shared" si="20"/>
        <v>4351.7800898630139</v>
      </c>
      <c r="X70" s="32">
        <f t="shared" si="21"/>
        <v>4437.1091112328777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2"/>
        <v>150</v>
      </c>
      <c r="AM70" s="117">
        <f t="shared" si="11"/>
        <v>1800000000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2010885</v>
      </c>
      <c r="R71" s="5" t="s">
        <v>4395</v>
      </c>
      <c r="S71" s="5">
        <f>S70-2</f>
        <v>95</v>
      </c>
      <c r="T71" s="5" t="s">
        <v>4401</v>
      </c>
      <c r="U71" s="168">
        <v>202.1</v>
      </c>
      <c r="V71" s="99">
        <f t="shared" si="19"/>
        <v>219.09190356164382</v>
      </c>
      <c r="W71" s="32">
        <f t="shared" si="20"/>
        <v>223.47374163287671</v>
      </c>
      <c r="X71" s="32">
        <f t="shared" si="21"/>
        <v>227.85557970410957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2"/>
        <v>149</v>
      </c>
      <c r="AM71" s="117">
        <f t="shared" si="11"/>
        <v>2309500000</v>
      </c>
      <c r="AN71" s="20"/>
    </row>
    <row r="72" spans="1:40">
      <c r="G72" t="s">
        <v>4106</v>
      </c>
      <c r="M72" s="177"/>
      <c r="O72" s="115"/>
      <c r="P72" s="115"/>
      <c r="Q72" s="35">
        <v>1994038</v>
      </c>
      <c r="R72" s="5" t="s">
        <v>4406</v>
      </c>
      <c r="S72" s="5">
        <f>S71-3</f>
        <v>92</v>
      </c>
      <c r="T72" s="5" t="s">
        <v>4423</v>
      </c>
      <c r="U72" s="168">
        <v>5560.3</v>
      </c>
      <c r="V72" s="99">
        <f t="shared" si="19"/>
        <v>6014.9954367123291</v>
      </c>
      <c r="W72" s="32">
        <f t="shared" si="20"/>
        <v>6135.295345446576</v>
      </c>
      <c r="X72" s="32">
        <f t="shared" si="21"/>
        <v>6255.5952541808228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2"/>
        <v>145</v>
      </c>
      <c r="AM72" s="117">
        <f t="shared" si="11"/>
        <v>21750000</v>
      </c>
      <c r="AN72" s="20"/>
    </row>
    <row r="73" spans="1:40">
      <c r="G73" t="s">
        <v>4105</v>
      </c>
      <c r="M73" s="96" t="s">
        <v>4791</v>
      </c>
      <c r="Q73" s="35">
        <v>444</v>
      </c>
      <c r="R73" s="5" t="s">
        <v>4406</v>
      </c>
      <c r="S73" s="5">
        <f>S72</f>
        <v>92</v>
      </c>
      <c r="T73" s="5" t="s">
        <v>4625</v>
      </c>
      <c r="U73" s="168">
        <v>441.8</v>
      </c>
      <c r="V73" s="99">
        <f t="shared" si="19"/>
        <v>477.92834630136991</v>
      </c>
      <c r="W73" s="32">
        <f t="shared" si="20"/>
        <v>487.48691322739734</v>
      </c>
      <c r="X73" s="32">
        <f t="shared" si="21"/>
        <v>497.04548015342471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22"/>
        <v>144</v>
      </c>
      <c r="AM73" s="181">
        <f t="shared" si="11"/>
        <v>4176000000</v>
      </c>
      <c r="AN73" s="180" t="s">
        <v>4186</v>
      </c>
    </row>
    <row r="74" spans="1:40">
      <c r="M74" s="122" t="s">
        <v>4413</v>
      </c>
      <c r="O74" s="114"/>
      <c r="Q74" s="35">
        <v>1971103</v>
      </c>
      <c r="R74" s="5" t="s">
        <v>4418</v>
      </c>
      <c r="S74" s="5">
        <f>S73-1</f>
        <v>91</v>
      </c>
      <c r="T74" s="5" t="s">
        <v>4419</v>
      </c>
      <c r="U74" s="168">
        <v>196.2</v>
      </c>
      <c r="V74" s="99">
        <f t="shared" si="19"/>
        <v>212.09381260273975</v>
      </c>
      <c r="W74" s="32">
        <f t="shared" si="20"/>
        <v>216.33568885479454</v>
      </c>
      <c r="X74" s="32">
        <f t="shared" si="21"/>
        <v>220.57756510684933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2"/>
        <v>129</v>
      </c>
      <c r="AM74" s="117">
        <f t="shared" si="11"/>
        <v>-16770000</v>
      </c>
      <c r="AN74" s="20" t="s">
        <v>4212</v>
      </c>
    </row>
    <row r="75" spans="1:40">
      <c r="M75" s="122" t="s">
        <v>4514</v>
      </c>
      <c r="N75" s="96"/>
      <c r="Q75" s="35">
        <v>1049856</v>
      </c>
      <c r="R75" s="5" t="s">
        <v>4441</v>
      </c>
      <c r="S75" s="5">
        <f>S74-6</f>
        <v>85</v>
      </c>
      <c r="T75" s="5" t="s">
        <v>4480</v>
      </c>
      <c r="U75" s="168">
        <v>184.5</v>
      </c>
      <c r="V75" s="99">
        <f t="shared" si="19"/>
        <v>198.59681095890411</v>
      </c>
      <c r="W75" s="32">
        <f t="shared" si="20"/>
        <v>202.56874717808219</v>
      </c>
      <c r="X75" s="32">
        <f t="shared" si="21"/>
        <v>206.5406833972603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2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1783234</v>
      </c>
      <c r="R76" s="5" t="s">
        <v>4443</v>
      </c>
      <c r="S76" s="5">
        <f>S75-2</f>
        <v>83</v>
      </c>
      <c r="T76" s="5" t="s">
        <v>4444</v>
      </c>
      <c r="U76" s="168">
        <v>177.5</v>
      </c>
      <c r="V76" s="99">
        <f t="shared" si="19"/>
        <v>190.78964383561646</v>
      </c>
      <c r="W76" s="32">
        <f t="shared" si="20"/>
        <v>194.60543671232878</v>
      </c>
      <c r="X76" s="32">
        <f t="shared" si="21"/>
        <v>198.42122958904113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2"/>
        <v>120</v>
      </c>
      <c r="AM76" s="117">
        <f t="shared" si="11"/>
        <v>-20400000</v>
      </c>
      <c r="AN76" s="20"/>
    </row>
    <row r="77" spans="1:40" ht="45">
      <c r="D77" s="1" t="s">
        <v>305</v>
      </c>
      <c r="E77" s="1">
        <v>70000</v>
      </c>
      <c r="K77" s="218" t="s">
        <v>4825</v>
      </c>
      <c r="L77" s="22" t="s">
        <v>4785</v>
      </c>
      <c r="M77" s="211" t="s">
        <v>4754</v>
      </c>
      <c r="N77" s="96"/>
      <c r="P77" s="115"/>
      <c r="Q77" s="35">
        <v>1662335</v>
      </c>
      <c r="R77" s="5" t="s">
        <v>4447</v>
      </c>
      <c r="S77" s="5">
        <f>S76-5</f>
        <v>78</v>
      </c>
      <c r="T77" s="225" t="s">
        <v>4606</v>
      </c>
      <c r="U77" s="168">
        <v>190.3</v>
      </c>
      <c r="V77" s="99">
        <f t="shared" si="19"/>
        <v>203.81807780821921</v>
      </c>
      <c r="W77" s="32">
        <f t="shared" si="20"/>
        <v>207.8944393643836</v>
      </c>
      <c r="X77" s="32">
        <f t="shared" si="21"/>
        <v>211.97080092054799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2"/>
        <v>117</v>
      </c>
      <c r="AM77" s="117">
        <f t="shared" si="11"/>
        <v>-35100000</v>
      </c>
      <c r="AN77" s="20"/>
    </row>
    <row r="78" spans="1:40">
      <c r="D78" s="1" t="s">
        <v>321</v>
      </c>
      <c r="E78" s="1">
        <v>100000</v>
      </c>
      <c r="K78" t="s">
        <v>4826</v>
      </c>
      <c r="M78" s="122"/>
      <c r="N78" s="96"/>
      <c r="P78" s="115" t="s">
        <v>25</v>
      </c>
      <c r="Q78" s="169">
        <v>499973</v>
      </c>
      <c r="R78" s="168" t="s">
        <v>4596</v>
      </c>
      <c r="S78" s="168">
        <f>S77-37</f>
        <v>41</v>
      </c>
      <c r="T78" s="73" t="s">
        <v>4597</v>
      </c>
      <c r="U78" s="168">
        <v>413</v>
      </c>
      <c r="V78" s="99">
        <f t="shared" si="19"/>
        <v>430.61529863013703</v>
      </c>
      <c r="W78" s="32">
        <f t="shared" si="20"/>
        <v>439.2276046027398</v>
      </c>
      <c r="X78" s="32">
        <f t="shared" si="21"/>
        <v>447.83991057534251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1"/>
        <v>-1299600000</v>
      </c>
      <c r="AN78" s="20"/>
    </row>
    <row r="79" spans="1:40">
      <c r="D79" s="1" t="s">
        <v>306</v>
      </c>
      <c r="E79" s="1">
        <v>80000</v>
      </c>
      <c r="K79" t="s">
        <v>4592</v>
      </c>
      <c r="L79" s="96"/>
      <c r="M79" s="122" t="s">
        <v>4590</v>
      </c>
      <c r="O79" t="s">
        <v>25</v>
      </c>
      <c r="P79" s="115"/>
      <c r="Q79" s="169">
        <v>11869317</v>
      </c>
      <c r="R79" s="168" t="s">
        <v>4607</v>
      </c>
      <c r="S79" s="168">
        <f>S78-2</f>
        <v>39</v>
      </c>
      <c r="T79" s="168" t="s">
        <v>4608</v>
      </c>
      <c r="U79" s="168">
        <v>395600</v>
      </c>
      <c r="V79" s="99">
        <f t="shared" si="19"/>
        <v>411866.20493150683</v>
      </c>
      <c r="W79" s="32">
        <f t="shared" si="20"/>
        <v>420103.529030137</v>
      </c>
      <c r="X79" s="32">
        <f t="shared" si="21"/>
        <v>428340.85312876711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224489047.20000002</v>
      </c>
      <c r="P80" s="115"/>
      <c r="Q80" s="35">
        <v>2272487</v>
      </c>
      <c r="R80" s="5" t="s">
        <v>4617</v>
      </c>
      <c r="S80" s="5">
        <f>S79-3</f>
        <v>36</v>
      </c>
      <c r="T80" s="5" t="s">
        <v>4618</v>
      </c>
      <c r="U80" s="168">
        <v>174.9</v>
      </c>
      <c r="V80" s="99">
        <f t="shared" si="19"/>
        <v>181.68899506849317</v>
      </c>
      <c r="W80" s="32">
        <f t="shared" si="20"/>
        <v>185.32277496986305</v>
      </c>
      <c r="X80" s="32">
        <f t="shared" si="21"/>
        <v>188.9565548712329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 ht="30">
      <c r="D81" s="31" t="s">
        <v>308</v>
      </c>
      <c r="E81" s="1">
        <v>300000</v>
      </c>
      <c r="K81" s="22" t="s">
        <v>4827</v>
      </c>
      <c r="M81" t="s">
        <v>4267</v>
      </c>
      <c r="P81" s="115"/>
      <c r="Q81" s="35">
        <v>3975257</v>
      </c>
      <c r="R81" s="5" t="s">
        <v>4623</v>
      </c>
      <c r="S81" s="5">
        <f>S80-1</f>
        <v>35</v>
      </c>
      <c r="T81" s="5" t="s">
        <v>4624</v>
      </c>
      <c r="U81" s="168">
        <v>173</v>
      </c>
      <c r="V81" s="99">
        <f t="shared" si="19"/>
        <v>179.58253150684934</v>
      </c>
      <c r="W81" s="32">
        <f t="shared" si="20"/>
        <v>183.17418213698633</v>
      </c>
      <c r="X81" s="32">
        <f t="shared" si="21"/>
        <v>186.76583276712333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22"/>
        <v>95</v>
      </c>
      <c r="AM81" s="117">
        <f t="shared" si="11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35">
        <v>1031662</v>
      </c>
      <c r="R82" s="5" t="s">
        <v>4234</v>
      </c>
      <c r="S82" s="5">
        <f>S81-1</f>
        <v>34</v>
      </c>
      <c r="T82" s="5" t="s">
        <v>4627</v>
      </c>
      <c r="U82" s="168">
        <v>171.2</v>
      </c>
      <c r="V82" s="99">
        <f t="shared" si="19"/>
        <v>177.5827112328767</v>
      </c>
      <c r="W82" s="32">
        <f t="shared" si="20"/>
        <v>181.13436545753424</v>
      </c>
      <c r="X82" s="32">
        <f t="shared" si="21"/>
        <v>184.68601968219178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94</v>
      </c>
      <c r="AM82" s="117">
        <f t="shared" si="11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2666019</v>
      </c>
      <c r="R83" s="168" t="s">
        <v>4234</v>
      </c>
      <c r="S83" s="168">
        <f>S82</f>
        <v>34</v>
      </c>
      <c r="T83" s="168" t="s">
        <v>4629</v>
      </c>
      <c r="U83" s="168">
        <v>749</v>
      </c>
      <c r="V83" s="99">
        <f t="shared" si="19"/>
        <v>776.9243616438356</v>
      </c>
      <c r="W83" s="32">
        <f t="shared" si="20"/>
        <v>792.46284887671231</v>
      </c>
      <c r="X83" s="32">
        <f t="shared" si="21"/>
        <v>808.00133610958903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22"/>
        <v>92</v>
      </c>
      <c r="AM83" s="117">
        <f t="shared" si="11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35">
        <v>577500</v>
      </c>
      <c r="R84" s="5" t="s">
        <v>4234</v>
      </c>
      <c r="S84" s="5">
        <f>S83</f>
        <v>34</v>
      </c>
      <c r="T84" s="5" t="s">
        <v>4632</v>
      </c>
      <c r="U84" s="168">
        <v>175</v>
      </c>
      <c r="V84" s="99">
        <f t="shared" si="19"/>
        <v>181.52438356164384</v>
      </c>
      <c r="W84" s="32">
        <f t="shared" si="20"/>
        <v>185.15487123287673</v>
      </c>
      <c r="X84" s="32">
        <f t="shared" si="21"/>
        <v>188.78535890410961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22"/>
        <v>89</v>
      </c>
      <c r="AM84" s="117">
        <f t="shared" si="11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12636487</v>
      </c>
      <c r="R85" s="5" t="s">
        <v>3691</v>
      </c>
      <c r="S85" s="5">
        <f>S84-2</f>
        <v>32</v>
      </c>
      <c r="T85" s="5" t="s">
        <v>4635</v>
      </c>
      <c r="U85" s="168">
        <v>172.1</v>
      </c>
      <c r="V85" s="99">
        <f t="shared" si="19"/>
        <v>178.25222136986304</v>
      </c>
      <c r="W85" s="32">
        <f t="shared" si="20"/>
        <v>181.81726579726029</v>
      </c>
      <c r="X85" s="32">
        <f t="shared" si="21"/>
        <v>185.38231022465757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22"/>
        <v>85</v>
      </c>
      <c r="AM85" s="117">
        <f t="shared" si="11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169">
        <v>1210169</v>
      </c>
      <c r="R86" s="168" t="s">
        <v>4638</v>
      </c>
      <c r="S86" s="168">
        <f>S85-3</f>
        <v>29</v>
      </c>
      <c r="T86" s="168" t="s">
        <v>4639</v>
      </c>
      <c r="U86" s="168">
        <v>1204.7</v>
      </c>
      <c r="V86" s="99">
        <f t="shared" si="19"/>
        <v>1244.9930893150686</v>
      </c>
      <c r="W86" s="32">
        <f t="shared" si="20"/>
        <v>1269.89295110137</v>
      </c>
      <c r="X86" s="32">
        <f t="shared" si="21"/>
        <v>1294.7928128876713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22"/>
        <v>80</v>
      </c>
      <c r="AM86" s="117">
        <f t="shared" si="11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12131182</v>
      </c>
      <c r="R87" s="5" t="s">
        <v>4638</v>
      </c>
      <c r="S87" s="5">
        <f>S86</f>
        <v>29</v>
      </c>
      <c r="T87" s="5" t="s">
        <v>4640</v>
      </c>
      <c r="U87" s="168">
        <v>171.8</v>
      </c>
      <c r="V87" s="99">
        <f t="shared" si="19"/>
        <v>177.54612164383562</v>
      </c>
      <c r="W87" s="32">
        <f t="shared" si="20"/>
        <v>181.09704407671234</v>
      </c>
      <c r="X87" s="32">
        <f t="shared" si="21"/>
        <v>184.64796650958905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22"/>
        <v>78</v>
      </c>
      <c r="AM87" s="117">
        <f t="shared" si="11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35">
        <v>8978273</v>
      </c>
      <c r="R88" s="5" t="s">
        <v>4644</v>
      </c>
      <c r="S88" s="5">
        <f>S87-1</f>
        <v>28</v>
      </c>
      <c r="T88" s="5" t="s">
        <v>4645</v>
      </c>
      <c r="U88" s="168">
        <v>3405.9</v>
      </c>
      <c r="V88" s="99">
        <f t="shared" si="19"/>
        <v>3517.202945753425</v>
      </c>
      <c r="W88" s="32">
        <f t="shared" ref="W88:W126" si="23">V88*(1+$W$19/100)</f>
        <v>3587.5470046684936</v>
      </c>
      <c r="X88" s="32">
        <f t="shared" ref="X88:X126" si="24">V88*(1+$X$19/100)</f>
        <v>3657.8910635835623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75</v>
      </c>
      <c r="AM88" s="117">
        <f t="shared" si="11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169">
        <v>1013762</v>
      </c>
      <c r="R89" s="168" t="s">
        <v>4644</v>
      </c>
      <c r="S89" s="168">
        <f>S88</f>
        <v>28</v>
      </c>
      <c r="T89" s="168" t="s">
        <v>4647</v>
      </c>
      <c r="U89" s="168">
        <v>217.1</v>
      </c>
      <c r="V89" s="99">
        <f t="shared" si="19"/>
        <v>224.1947090410959</v>
      </c>
      <c r="W89" s="32">
        <f t="shared" si="23"/>
        <v>228.67860322191783</v>
      </c>
      <c r="X89" s="32">
        <f t="shared" si="24"/>
        <v>233.16249740273975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22"/>
        <v>75</v>
      </c>
      <c r="AM89" s="117">
        <f t="shared" si="11"/>
        <v>183750000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169">
        <v>12953846</v>
      </c>
      <c r="R90" s="168" t="s">
        <v>4644</v>
      </c>
      <c r="S90" s="168">
        <f>S89</f>
        <v>28</v>
      </c>
      <c r="T90" s="168" t="s">
        <v>4778</v>
      </c>
      <c r="U90" s="168">
        <v>4500.5</v>
      </c>
      <c r="V90" s="99">
        <f t="shared" si="19"/>
        <v>4647.573873972603</v>
      </c>
      <c r="W90" s="32">
        <f t="shared" si="23"/>
        <v>4740.5253514520555</v>
      </c>
      <c r="X90" s="32">
        <f t="shared" si="24"/>
        <v>4833.476828931507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22"/>
        <v>74</v>
      </c>
      <c r="AM90" s="117">
        <f t="shared" si="11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35">
        <v>4068640</v>
      </c>
      <c r="R91" s="5" t="s">
        <v>4651</v>
      </c>
      <c r="S91" s="5">
        <f>S90-1</f>
        <v>27</v>
      </c>
      <c r="T91" s="5" t="s">
        <v>4652</v>
      </c>
      <c r="U91" s="168">
        <v>3322.3</v>
      </c>
      <c r="V91" s="99">
        <f t="shared" si="19"/>
        <v>3428.3223298630146</v>
      </c>
      <c r="W91" s="32">
        <f t="shared" si="23"/>
        <v>3496.888776460275</v>
      </c>
      <c r="X91" s="32">
        <f t="shared" si="24"/>
        <v>3565.4552230575355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22"/>
        <v>73</v>
      </c>
      <c r="AM91" s="117">
        <f t="shared" si="11"/>
        <v>193304000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35">
        <v>12656982</v>
      </c>
      <c r="R92" s="5" t="s">
        <v>4651</v>
      </c>
      <c r="S92" s="5">
        <f>S91</f>
        <v>27</v>
      </c>
      <c r="T92" s="5" t="s">
        <v>4653</v>
      </c>
      <c r="U92" s="168">
        <v>5249.9</v>
      </c>
      <c r="V92" s="99">
        <f t="shared" si="19"/>
        <v>5417.4365347945213</v>
      </c>
      <c r="W92" s="32">
        <f t="shared" si="23"/>
        <v>5525.7852654904118</v>
      </c>
      <c r="X92" s="32">
        <f t="shared" si="24"/>
        <v>5634.1339961863023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2"/>
        <v>72</v>
      </c>
      <c r="AM92" s="117">
        <f t="shared" si="11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169">
        <v>100905</v>
      </c>
      <c r="R93" s="168" t="s">
        <v>4654</v>
      </c>
      <c r="S93" s="168">
        <f>S92-1</f>
        <v>26</v>
      </c>
      <c r="T93" s="168" t="s">
        <v>4660</v>
      </c>
      <c r="U93" s="168">
        <v>372</v>
      </c>
      <c r="V93" s="99">
        <f t="shared" si="19"/>
        <v>383.58601643835618</v>
      </c>
      <c r="W93" s="32">
        <f t="shared" si="23"/>
        <v>391.25773676712333</v>
      </c>
      <c r="X93" s="32">
        <f t="shared" si="24"/>
        <v>398.92945709589043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68</v>
      </c>
      <c r="AM93" s="117">
        <f t="shared" si="11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35">
        <v>48637534</v>
      </c>
      <c r="R94" s="5" t="s">
        <v>4654</v>
      </c>
      <c r="S94" s="5">
        <f>S93</f>
        <v>26</v>
      </c>
      <c r="T94" s="5" t="s">
        <v>4658</v>
      </c>
      <c r="U94" s="168">
        <v>5330</v>
      </c>
      <c r="V94" s="99">
        <f t="shared" si="19"/>
        <v>5496.0039452054798</v>
      </c>
      <c r="W94" s="32">
        <f t="shared" si="23"/>
        <v>5605.9240241095895</v>
      </c>
      <c r="X94" s="32">
        <f t="shared" si="24"/>
        <v>5715.8441030136992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66</v>
      </c>
      <c r="AM94" s="117">
        <f t="shared" si="11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35">
        <v>40048573</v>
      </c>
      <c r="R95" s="5" t="s">
        <v>4654</v>
      </c>
      <c r="S95" s="5">
        <f>S94</f>
        <v>26</v>
      </c>
      <c r="T95" s="5" t="s">
        <v>4659</v>
      </c>
      <c r="U95" s="168">
        <v>498.9</v>
      </c>
      <c r="V95" s="99">
        <f t="shared" si="19"/>
        <v>514.43834301369861</v>
      </c>
      <c r="W95" s="32">
        <f t="shared" si="23"/>
        <v>524.72710987397261</v>
      </c>
      <c r="X95" s="32">
        <f t="shared" si="24"/>
        <v>535.0158767342466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66</v>
      </c>
      <c r="AM95" s="117">
        <f t="shared" si="11"/>
        <v>149754000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169">
        <v>1000495</v>
      </c>
      <c r="R96" s="168" t="s">
        <v>4670</v>
      </c>
      <c r="S96" s="168">
        <f>S95-1</f>
        <v>25</v>
      </c>
      <c r="T96" s="168" t="s">
        <v>4745</v>
      </c>
      <c r="U96" s="168">
        <v>724.8</v>
      </c>
      <c r="V96" s="99">
        <f t="shared" si="19"/>
        <v>746.81803397260273</v>
      </c>
      <c r="W96" s="32">
        <f t="shared" si="23"/>
        <v>761.75439465205477</v>
      </c>
      <c r="X96" s="32">
        <f t="shared" si="24"/>
        <v>776.69075533150692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65</v>
      </c>
      <c r="AM96" s="117">
        <f t="shared" si="11"/>
        <v>48750000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37856769</v>
      </c>
      <c r="R97" s="5" t="s">
        <v>4670</v>
      </c>
      <c r="S97" s="5">
        <f>S96</f>
        <v>25</v>
      </c>
      <c r="T97" s="5" t="s">
        <v>4672</v>
      </c>
      <c r="U97" s="168">
        <v>5393.6</v>
      </c>
      <c r="V97" s="99">
        <f t="shared" ref="V97:V122" si="26">U97*(1+$N$86+$Q$15*S97/36500)</f>
        <v>5557.44722410959</v>
      </c>
      <c r="W97" s="32">
        <f t="shared" si="23"/>
        <v>5668.5961685917819</v>
      </c>
      <c r="X97" s="32">
        <f t="shared" si="24"/>
        <v>5779.7451130739737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61</v>
      </c>
      <c r="AM97" s="117">
        <f t="shared" si="11"/>
        <v>115900000</v>
      </c>
      <c r="AN97" s="99"/>
    </row>
    <row r="98" spans="4:47">
      <c r="D98" s="2"/>
      <c r="E98" s="3"/>
      <c r="H98" s="96"/>
      <c r="M98" t="s">
        <v>4548</v>
      </c>
      <c r="P98" s="115"/>
      <c r="Q98" s="35">
        <v>155151</v>
      </c>
      <c r="R98" s="5" t="s">
        <v>4682</v>
      </c>
      <c r="S98" s="5">
        <f>S97-3</f>
        <v>22</v>
      </c>
      <c r="T98" s="5" t="s">
        <v>4684</v>
      </c>
      <c r="U98" s="168">
        <v>5325.9</v>
      </c>
      <c r="V98" s="99">
        <f t="shared" si="26"/>
        <v>5475.4337621917812</v>
      </c>
      <c r="W98" s="32">
        <f t="shared" si="23"/>
        <v>5584.9424374356167</v>
      </c>
      <c r="X98" s="32">
        <f t="shared" si="24"/>
        <v>5694.4511126794523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58</v>
      </c>
      <c r="AM98" s="117">
        <f t="shared" si="11"/>
        <v>371200000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169">
        <v>109726</v>
      </c>
      <c r="R99" s="168" t="s">
        <v>4682</v>
      </c>
      <c r="S99" s="168">
        <f>S98</f>
        <v>22</v>
      </c>
      <c r="T99" s="168" t="s">
        <v>4685</v>
      </c>
      <c r="U99" s="168">
        <v>3900.7</v>
      </c>
      <c r="V99" s="99">
        <f t="shared" si="26"/>
        <v>4010.2188317808223</v>
      </c>
      <c r="W99" s="32">
        <f t="shared" si="23"/>
        <v>4090.4232084164387</v>
      </c>
      <c r="X99" s="32">
        <f t="shared" si="24"/>
        <v>4170.6275850520551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57</v>
      </c>
      <c r="AM99" s="117">
        <f t="shared" si="11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8938737</v>
      </c>
      <c r="R100" s="5" t="s">
        <v>4688</v>
      </c>
      <c r="S100" s="5">
        <f>S99-1</f>
        <v>21</v>
      </c>
      <c r="T100" s="5" t="s">
        <v>4690</v>
      </c>
      <c r="U100" s="168">
        <v>5179.5</v>
      </c>
      <c r="V100" s="99">
        <f t="shared" si="26"/>
        <v>5320.9500164383562</v>
      </c>
      <c r="W100" s="32">
        <f t="shared" si="23"/>
        <v>5427.3690167671239</v>
      </c>
      <c r="X100" s="32">
        <f t="shared" si="24"/>
        <v>5533.7880170958906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52</v>
      </c>
      <c r="AM100" s="117">
        <f t="shared" si="11"/>
        <v>-91007696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35">
        <v>2595417</v>
      </c>
      <c r="R101" s="5" t="s">
        <v>4698</v>
      </c>
      <c r="S101" s="5">
        <f>S100-1</f>
        <v>20</v>
      </c>
      <c r="T101" s="5" t="s">
        <v>4699</v>
      </c>
      <c r="U101" s="168">
        <v>4803</v>
      </c>
      <c r="V101" s="99">
        <f t="shared" si="26"/>
        <v>4930.4834630136993</v>
      </c>
      <c r="W101" s="32">
        <f t="shared" si="23"/>
        <v>5029.0931322739734</v>
      </c>
      <c r="X101" s="32">
        <f t="shared" si="24"/>
        <v>5127.7028015342476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51</v>
      </c>
      <c r="AM101" s="117">
        <f t="shared" si="11"/>
        <v>20400000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169">
        <v>2505816</v>
      </c>
      <c r="R102" s="168" t="s">
        <v>4698</v>
      </c>
      <c r="S102" s="168">
        <f>S101</f>
        <v>20</v>
      </c>
      <c r="T102" s="168" t="s">
        <v>4700</v>
      </c>
      <c r="U102" s="168">
        <v>3723</v>
      </c>
      <c r="V102" s="99">
        <f t="shared" si="26"/>
        <v>3821.8176000000003</v>
      </c>
      <c r="W102" s="32">
        <f t="shared" si="23"/>
        <v>3898.2539520000005</v>
      </c>
      <c r="X102" s="32">
        <f t="shared" si="24"/>
        <v>3974.6903040000007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51</v>
      </c>
      <c r="AM102" s="117">
        <f t="shared" si="11"/>
        <v>-107376471</v>
      </c>
      <c r="AN102" s="99"/>
      <c r="AO102" t="s">
        <v>25</v>
      </c>
    </row>
    <row r="103" spans="4:47">
      <c r="F103" s="184">
        <f t="shared" ref="F103:F108" si="27">$L$111/G103</f>
        <v>27455.688965122925</v>
      </c>
      <c r="G103" s="184">
        <f>P54</f>
        <v>174.9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K103*$L$111</f>
        <v>288120000</v>
      </c>
      <c r="M103" s="221">
        <f>N21+N31+N54</f>
        <v>238966044.90000001</v>
      </c>
      <c r="N103" s="185">
        <f t="shared" ref="N103:N109" si="29">L103-M103</f>
        <v>49153955.099999994</v>
      </c>
      <c r="Q103" s="169">
        <v>183283</v>
      </c>
      <c r="R103" s="215" t="s">
        <v>4702</v>
      </c>
      <c r="S103" s="215">
        <f>S102-1</f>
        <v>19</v>
      </c>
      <c r="T103" s="215" t="s">
        <v>4716</v>
      </c>
      <c r="U103" s="215">
        <v>347.5</v>
      </c>
      <c r="V103" s="99">
        <f t="shared" si="26"/>
        <v>356.45693150684929</v>
      </c>
      <c r="W103" s="32">
        <f t="shared" si="23"/>
        <v>363.58607013698628</v>
      </c>
      <c r="X103" s="32">
        <f t="shared" si="24"/>
        <v>370.71520876712327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50</v>
      </c>
      <c r="AM103" s="117">
        <f t="shared" si="11"/>
        <v>-276380900</v>
      </c>
      <c r="AN103" s="99"/>
    </row>
    <row r="104" spans="4:47">
      <c r="F104" s="99">
        <f t="shared" si="27"/>
        <v>921.26467654055716</v>
      </c>
      <c r="G104" s="99">
        <f>P47</f>
        <v>5212.3999999999996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144060000</v>
      </c>
      <c r="M104" s="1">
        <f>N25+N47+N28</f>
        <v>114542489.99999999</v>
      </c>
      <c r="N104" s="113">
        <f t="shared" si="29"/>
        <v>29517510.000000015</v>
      </c>
      <c r="Q104" s="169">
        <v>177438</v>
      </c>
      <c r="R104" s="215" t="s">
        <v>4702</v>
      </c>
      <c r="S104" s="215">
        <f t="shared" ref="S104:S108" si="30">S103</f>
        <v>19</v>
      </c>
      <c r="T104" s="215" t="s">
        <v>4711</v>
      </c>
      <c r="U104" s="215">
        <v>207.3</v>
      </c>
      <c r="V104" s="99">
        <f t="shared" si="26"/>
        <v>212.6432284931507</v>
      </c>
      <c r="W104" s="32">
        <f t="shared" si="23"/>
        <v>216.89609306301372</v>
      </c>
      <c r="X104" s="32">
        <f t="shared" si="24"/>
        <v>221.14895763287674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50</v>
      </c>
      <c r="AM104" s="117">
        <f t="shared" si="11"/>
        <v>195000000</v>
      </c>
      <c r="AN104" s="99"/>
    </row>
    <row r="105" spans="4:47">
      <c r="F105" s="184">
        <f t="shared" si="27"/>
        <v>1529.640365686618</v>
      </c>
      <c r="G105" s="184">
        <f>P44</f>
        <v>3139.3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144060000</v>
      </c>
      <c r="M105" s="221">
        <f>N44+N29+N22</f>
        <v>94081681.700000003</v>
      </c>
      <c r="N105" s="185">
        <f t="shared" si="29"/>
        <v>49978318.299999997</v>
      </c>
      <c r="Q105" s="35">
        <v>559461</v>
      </c>
      <c r="R105" s="5" t="s">
        <v>4702</v>
      </c>
      <c r="S105" s="5">
        <f t="shared" si="30"/>
        <v>19</v>
      </c>
      <c r="T105" s="5" t="s">
        <v>4712</v>
      </c>
      <c r="U105" s="215">
        <v>508.1</v>
      </c>
      <c r="V105" s="99">
        <f t="shared" si="26"/>
        <v>521.19645150684937</v>
      </c>
      <c r="W105" s="32">
        <f t="shared" si="23"/>
        <v>531.62038053698632</v>
      </c>
      <c r="X105" s="32">
        <f t="shared" si="24"/>
        <v>542.04430956712338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47</v>
      </c>
      <c r="AM105" s="117">
        <f t="shared" si="11"/>
        <v>-186578438</v>
      </c>
      <c r="AN105" s="99"/>
    </row>
    <row r="106" spans="4:47">
      <c r="F106" s="99">
        <f t="shared" si="27"/>
        <v>9225.7444764649372</v>
      </c>
      <c r="G106" s="99">
        <f>P48</f>
        <v>520.5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144060000</v>
      </c>
      <c r="M106" s="1">
        <f>N48+N23+N30</f>
        <v>88187794.5</v>
      </c>
      <c r="N106" s="113">
        <f t="shared" si="29"/>
        <v>55872205.5</v>
      </c>
      <c r="Q106" s="35">
        <v>169080</v>
      </c>
      <c r="R106" s="5" t="s">
        <v>4702</v>
      </c>
      <c r="S106" s="5">
        <f t="shared" si="30"/>
        <v>19</v>
      </c>
      <c r="T106" s="5" t="s">
        <v>4713</v>
      </c>
      <c r="U106" s="215">
        <v>168.3</v>
      </c>
      <c r="V106" s="99">
        <f t="shared" si="26"/>
        <v>172.6379901369863</v>
      </c>
      <c r="W106" s="32">
        <f t="shared" si="23"/>
        <v>176.09074993972604</v>
      </c>
      <c r="X106" s="32">
        <f t="shared" si="24"/>
        <v>179.54350974246577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46</v>
      </c>
      <c r="AM106" s="117">
        <f t="shared" si="11"/>
        <v>-1176424930</v>
      </c>
      <c r="AN106" s="99"/>
      <c r="AP106" t="s">
        <v>25</v>
      </c>
    </row>
    <row r="107" spans="4:47">
      <c r="F107" s="184">
        <f t="shared" si="27"/>
        <v>1024.7545881348699</v>
      </c>
      <c r="G107" s="184">
        <f>P50</f>
        <v>4686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91238000</v>
      </c>
      <c r="M107" s="221">
        <f>N50</f>
        <v>13650318</v>
      </c>
      <c r="N107" s="185">
        <f t="shared" si="29"/>
        <v>77587682</v>
      </c>
      <c r="Q107" s="35">
        <v>9376000</v>
      </c>
      <c r="R107" s="5" t="s">
        <v>4702</v>
      </c>
      <c r="S107" s="5">
        <f>S106</f>
        <v>19</v>
      </c>
      <c r="T107" s="5" t="s">
        <v>4714</v>
      </c>
      <c r="U107" s="215">
        <v>3184.1</v>
      </c>
      <c r="V107" s="99">
        <f t="shared" si="26"/>
        <v>3266.1712679452053</v>
      </c>
      <c r="W107" s="32">
        <f t="shared" si="23"/>
        <v>3331.4946933041097</v>
      </c>
      <c r="X107" s="32">
        <f t="shared" si="24"/>
        <v>3396.8181186630136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46</v>
      </c>
      <c r="AM107" s="117">
        <f t="shared" si="11"/>
        <v>184000000</v>
      </c>
      <c r="AN107" s="99"/>
    </row>
    <row r="108" spans="4:47">
      <c r="F108" s="99">
        <f t="shared" si="27"/>
        <v>1232.8626444159179</v>
      </c>
      <c r="G108" s="99">
        <f>P49</f>
        <v>3895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91238000</v>
      </c>
      <c r="M108" s="1">
        <f>N49+N24</f>
        <v>22240450</v>
      </c>
      <c r="N108" s="113">
        <f t="shared" si="29"/>
        <v>68997550</v>
      </c>
      <c r="Q108" s="169">
        <v>128675</v>
      </c>
      <c r="R108" s="215" t="s">
        <v>4702</v>
      </c>
      <c r="S108" s="215">
        <f t="shared" si="30"/>
        <v>19</v>
      </c>
      <c r="T108" s="215" t="s">
        <v>4715</v>
      </c>
      <c r="U108" s="215">
        <v>699.9</v>
      </c>
      <c r="V108" s="99">
        <f t="shared" si="26"/>
        <v>717.94016219178081</v>
      </c>
      <c r="W108" s="32">
        <f t="shared" si="23"/>
        <v>732.29896543561642</v>
      </c>
      <c r="X108" s="32">
        <f t="shared" si="24"/>
        <v>746.65776867945203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45</v>
      </c>
      <c r="AM108" s="117">
        <f t="shared" si="11"/>
        <v>-225000000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24010000</v>
      </c>
      <c r="M109" s="221">
        <f>N45+N46+N51+N53+N52</f>
        <v>6570625.5999999996</v>
      </c>
      <c r="N109" s="185">
        <f t="shared" si="29"/>
        <v>17439374.399999999</v>
      </c>
      <c r="Q109" s="35">
        <v>13100555</v>
      </c>
      <c r="R109" s="5" t="s">
        <v>4730</v>
      </c>
      <c r="S109" s="5">
        <f>S108-1</f>
        <v>18</v>
      </c>
      <c r="T109" s="5" t="s">
        <v>4733</v>
      </c>
      <c r="U109" s="215">
        <v>3180.5</v>
      </c>
      <c r="V109" s="99">
        <f t="shared" si="26"/>
        <v>3260.0386410958909</v>
      </c>
      <c r="W109" s="32">
        <f t="shared" si="23"/>
        <v>3325.2394139178086</v>
      </c>
      <c r="X109" s="32">
        <f t="shared" si="24"/>
        <v>3390.4401867397264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43</v>
      </c>
      <c r="AM109" s="117">
        <f t="shared" si="11"/>
        <v>430000000</v>
      </c>
      <c r="AN109" s="99"/>
    </row>
    <row r="110" spans="4:47">
      <c r="F110" s="99"/>
      <c r="G110" s="99"/>
      <c r="H110" s="99"/>
      <c r="I110" s="99"/>
      <c r="J110" s="168" t="s">
        <v>4707</v>
      </c>
      <c r="K110" s="168">
        <f>SUM(K103:K109)</f>
        <v>193</v>
      </c>
      <c r="L110" s="168"/>
      <c r="M110" s="168"/>
      <c r="N110" s="169"/>
      <c r="Q110" s="35">
        <v>622942</v>
      </c>
      <c r="R110" s="5" t="s">
        <v>4730</v>
      </c>
      <c r="S110" s="5">
        <f>S109</f>
        <v>18</v>
      </c>
      <c r="T110" s="5" t="s">
        <v>4734</v>
      </c>
      <c r="U110" s="215">
        <v>503.3</v>
      </c>
      <c r="V110" s="99">
        <f t="shared" si="26"/>
        <v>515.88663671232882</v>
      </c>
      <c r="W110" s="32">
        <f t="shared" si="23"/>
        <v>526.20436944657536</v>
      </c>
      <c r="X110" s="32">
        <f t="shared" si="24"/>
        <v>536.522102180822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39</v>
      </c>
      <c r="AM110" s="117">
        <f t="shared" si="11"/>
        <v>-204435543</v>
      </c>
      <c r="AN110" s="99"/>
    </row>
    <row r="111" spans="4:47">
      <c r="F111" s="184"/>
      <c r="G111" s="184"/>
      <c r="H111" s="184"/>
      <c r="I111" s="184"/>
      <c r="J111" s="201"/>
      <c r="K111" s="201">
        <v>56</v>
      </c>
      <c r="L111" s="39">
        <f>10*P55</f>
        <v>4802000</v>
      </c>
      <c r="M111" s="221">
        <f>K111*L111</f>
        <v>268912000</v>
      </c>
      <c r="N111" s="185">
        <f>SUM(N103:N109)-M111</f>
        <v>79634595.299999952</v>
      </c>
      <c r="Q111" s="35">
        <v>1472140</v>
      </c>
      <c r="R111" s="5" t="s">
        <v>4739</v>
      </c>
      <c r="S111" s="5">
        <f>S110-3</f>
        <v>15</v>
      </c>
      <c r="T111" s="5" t="s">
        <v>4743</v>
      </c>
      <c r="U111" s="168">
        <v>502</v>
      </c>
      <c r="V111" s="99">
        <f t="shared" si="26"/>
        <v>513.39883835616445</v>
      </c>
      <c r="W111" s="32">
        <f t="shared" si="23"/>
        <v>523.66681512328773</v>
      </c>
      <c r="X111" s="32">
        <f t="shared" si="24"/>
        <v>533.93479189041102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39</v>
      </c>
      <c r="AM111" s="117">
        <f t="shared" si="11"/>
        <v>854100000</v>
      </c>
      <c r="AN111" s="99"/>
      <c r="AP111" t="s">
        <v>25</v>
      </c>
      <c r="AR111" s="96"/>
      <c r="AS111" s="96"/>
      <c r="AT111"/>
      <c r="AU111"/>
    </row>
    <row r="112" spans="4:47" ht="45">
      <c r="F112" s="99"/>
      <c r="G112" s="99"/>
      <c r="H112" s="99"/>
      <c r="I112" s="99"/>
      <c r="J112" s="168"/>
      <c r="K112" s="216" t="s">
        <v>4813</v>
      </c>
      <c r="L112" s="168" t="s">
        <v>4253</v>
      </c>
      <c r="M112" s="168" t="s">
        <v>4696</v>
      </c>
      <c r="N112" s="168" t="s">
        <v>4697</v>
      </c>
      <c r="Q112" s="35">
        <v>4394591</v>
      </c>
      <c r="R112" s="5" t="s">
        <v>4746</v>
      </c>
      <c r="S112" s="5">
        <f>S111-1</f>
        <v>14</v>
      </c>
      <c r="T112" s="5" t="s">
        <v>4747</v>
      </c>
      <c r="U112" s="168">
        <v>481.7</v>
      </c>
      <c r="V112" s="99">
        <f t="shared" si="26"/>
        <v>492.26836602739735</v>
      </c>
      <c r="W112" s="32">
        <f t="shared" si="23"/>
        <v>502.1137333479453</v>
      </c>
      <c r="X112" s="32">
        <f t="shared" si="24"/>
        <v>511.95910066849325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37</v>
      </c>
      <c r="AM112" s="117">
        <f t="shared" si="11"/>
        <v>-555000000</v>
      </c>
      <c r="AN112" s="99"/>
      <c r="AO112" t="s">
        <v>25</v>
      </c>
    </row>
    <row r="113" spans="6:43">
      <c r="F113" s="184"/>
      <c r="G113" s="184"/>
      <c r="H113" s="184"/>
      <c r="I113" s="184"/>
      <c r="J113" s="201" t="s">
        <v>4705</v>
      </c>
      <c r="K113" s="201"/>
      <c r="L113" s="201"/>
      <c r="M113" s="201"/>
      <c r="N113" s="201"/>
      <c r="Q113" s="117">
        <v>4085110</v>
      </c>
      <c r="R113" s="19" t="s">
        <v>4749</v>
      </c>
      <c r="S113" s="19">
        <f>S112-1</f>
        <v>13</v>
      </c>
      <c r="T113" s="19" t="s">
        <v>4750</v>
      </c>
      <c r="U113" s="219">
        <v>3115.9</v>
      </c>
      <c r="V113" s="99">
        <f t="shared" si="26"/>
        <v>3181.8717128767125</v>
      </c>
      <c r="W113" s="32">
        <f t="shared" si="23"/>
        <v>3245.5091471342466</v>
      </c>
      <c r="X113" s="32">
        <f t="shared" si="24"/>
        <v>3309.1465813917812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37</v>
      </c>
      <c r="AM113" s="117">
        <f t="shared" si="11"/>
        <v>111000000</v>
      </c>
      <c r="AN113" s="99"/>
    </row>
    <row r="114" spans="6:43">
      <c r="M114" t="s">
        <v>25</v>
      </c>
      <c r="Q114" s="117">
        <v>205386</v>
      </c>
      <c r="R114" s="19" t="s">
        <v>4751</v>
      </c>
      <c r="S114" s="19">
        <f>S113</f>
        <v>13</v>
      </c>
      <c r="T114" s="19" t="s">
        <v>4752</v>
      </c>
      <c r="U114" s="219">
        <v>178.1</v>
      </c>
      <c r="V114" s="99">
        <f t="shared" si="26"/>
        <v>181.87084054794522</v>
      </c>
      <c r="W114" s="32">
        <f t="shared" si="23"/>
        <v>185.50825735890413</v>
      </c>
      <c r="X114" s="32">
        <f t="shared" si="24"/>
        <v>189.14567416986304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36</v>
      </c>
      <c r="AM114" s="117">
        <f t="shared" si="11"/>
        <v>-75734496</v>
      </c>
      <c r="AN114" s="99"/>
    </row>
    <row r="115" spans="6:43">
      <c r="Q115" s="117">
        <v>101496</v>
      </c>
      <c r="R115" s="19" t="s">
        <v>4753</v>
      </c>
      <c r="S115" s="19">
        <f>S114-1</f>
        <v>12</v>
      </c>
      <c r="T115" s="19" t="s">
        <v>4755</v>
      </c>
      <c r="U115" s="219">
        <v>168.1</v>
      </c>
      <c r="V115" s="99">
        <f t="shared" si="26"/>
        <v>171.53016109589043</v>
      </c>
      <c r="W115" s="32">
        <f t="shared" si="23"/>
        <v>174.96076431780824</v>
      </c>
      <c r="X115" s="32">
        <f t="shared" si="24"/>
        <v>178.39136753972605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36</v>
      </c>
      <c r="AM115" s="117">
        <f t="shared" si="11"/>
        <v>7920000</v>
      </c>
      <c r="AN115" s="99"/>
      <c r="AQ115" t="s">
        <v>25</v>
      </c>
    </row>
    <row r="116" spans="6:43">
      <c r="K116" s="168" t="s">
        <v>4549</v>
      </c>
      <c r="L116" s="168" t="s">
        <v>4550</v>
      </c>
      <c r="M116" s="168" t="s">
        <v>4439</v>
      </c>
      <c r="N116" s="56" t="s">
        <v>190</v>
      </c>
      <c r="P116" s="114"/>
      <c r="Q116" s="117">
        <v>8398607</v>
      </c>
      <c r="R116" s="19" t="s">
        <v>4765</v>
      </c>
      <c r="S116" s="19">
        <f>S115-7</f>
        <v>5</v>
      </c>
      <c r="T116" s="19" t="s">
        <v>4767</v>
      </c>
      <c r="U116" s="219">
        <v>3120.5</v>
      </c>
      <c r="V116" s="99">
        <f t="shared" si="26"/>
        <v>3167.418641095891</v>
      </c>
      <c r="W116" s="32">
        <f t="shared" si="23"/>
        <v>3230.767013917809</v>
      </c>
      <c r="X116" s="32">
        <f t="shared" si="24"/>
        <v>3294.1153867397265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33</v>
      </c>
      <c r="AM116" s="117">
        <f t="shared" si="11"/>
        <v>132000000</v>
      </c>
      <c r="AN116" s="99"/>
    </row>
    <row r="117" spans="6:43">
      <c r="K117" s="168" t="s">
        <v>4243</v>
      </c>
      <c r="L117" s="169">
        <v>1100000</v>
      </c>
      <c r="M117" s="169">
        <v>1637000</v>
      </c>
      <c r="N117" s="168">
        <f t="shared" ref="N117:N125" si="31">(M117-L117)*100/L117</f>
        <v>48.81818181818182</v>
      </c>
      <c r="Q117" s="117">
        <v>18565999</v>
      </c>
      <c r="R117" s="19" t="s">
        <v>4768</v>
      </c>
      <c r="S117" s="19">
        <f>S116-1</f>
        <v>4</v>
      </c>
      <c r="T117" s="19" t="s">
        <v>4777</v>
      </c>
      <c r="U117" s="219">
        <v>3112.4</v>
      </c>
      <c r="V117" s="99">
        <f t="shared" si="26"/>
        <v>3156.8092580821926</v>
      </c>
      <c r="W117" s="32">
        <f t="shared" si="23"/>
        <v>3219.9454432438365</v>
      </c>
      <c r="X117" s="32">
        <f t="shared" si="24"/>
        <v>3283.0816284054804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32</v>
      </c>
      <c r="AM117" s="117">
        <f t="shared" si="11"/>
        <v>-288000000</v>
      </c>
      <c r="AN117" s="99"/>
      <c r="AP117" t="s">
        <v>25</v>
      </c>
    </row>
    <row r="118" spans="6:43">
      <c r="K118" s="5" t="s">
        <v>4544</v>
      </c>
      <c r="L118" s="169">
        <v>1100000</v>
      </c>
      <c r="M118" s="169">
        <v>4748000</v>
      </c>
      <c r="N118" s="168">
        <f t="shared" si="31"/>
        <v>331.63636363636363</v>
      </c>
      <c r="Q118" s="117">
        <v>8381048</v>
      </c>
      <c r="R118" s="19" t="s">
        <v>4782</v>
      </c>
      <c r="S118" s="19">
        <f>S117-3</f>
        <v>1</v>
      </c>
      <c r="T118" s="19" t="s">
        <v>4808</v>
      </c>
      <c r="U118" s="219">
        <v>489</v>
      </c>
      <c r="V118" s="99">
        <f t="shared" si="26"/>
        <v>494.85192328767124</v>
      </c>
      <c r="W118" s="32">
        <f t="shared" si="23"/>
        <v>504.74896175342468</v>
      </c>
      <c r="X118" s="32">
        <f t="shared" si="24"/>
        <v>514.64600021917806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32</v>
      </c>
      <c r="AM118" s="117">
        <f t="shared" si="11"/>
        <v>444800000</v>
      </c>
      <c r="AN118" s="99"/>
    </row>
    <row r="119" spans="6:43">
      <c r="K119" s="5" t="s">
        <v>4545</v>
      </c>
      <c r="L119" s="169">
        <v>1100000</v>
      </c>
      <c r="M119" s="169">
        <v>5137000</v>
      </c>
      <c r="N119" s="168">
        <f t="shared" si="31"/>
        <v>367</v>
      </c>
      <c r="Q119" s="117">
        <v>164801</v>
      </c>
      <c r="R119" s="19" t="s">
        <v>4796</v>
      </c>
      <c r="S119" s="19">
        <f>S118-2</f>
        <v>-1</v>
      </c>
      <c r="T119" s="19" t="s">
        <v>4801</v>
      </c>
      <c r="U119" s="219">
        <v>3095.1</v>
      </c>
      <c r="V119" s="99">
        <f t="shared" si="26"/>
        <v>3127.3907967123291</v>
      </c>
      <c r="W119" s="32">
        <f t="shared" si="23"/>
        <v>3189.9386126465756</v>
      </c>
      <c r="X119" s="32">
        <f t="shared" si="24"/>
        <v>3252.4864285808226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30</v>
      </c>
      <c r="AM119" s="117">
        <f t="shared" si="11"/>
        <v>-243827310</v>
      </c>
      <c r="AN119" s="99"/>
      <c r="AO119" t="s">
        <v>25</v>
      </c>
    </row>
    <row r="120" spans="6:43">
      <c r="K120" s="19" t="s">
        <v>4393</v>
      </c>
      <c r="L120" s="169">
        <v>1100000</v>
      </c>
      <c r="M120" s="169">
        <v>4300000</v>
      </c>
      <c r="N120" s="168">
        <f t="shared" si="31"/>
        <v>290.90909090909093</v>
      </c>
      <c r="P120" s="114"/>
      <c r="Q120" s="117">
        <v>223613</v>
      </c>
      <c r="R120" s="19" t="s">
        <v>4796</v>
      </c>
      <c r="S120" s="19">
        <f>S119</f>
        <v>-1</v>
      </c>
      <c r="T120" s="19" t="s">
        <v>4802</v>
      </c>
      <c r="U120" s="219">
        <v>4637.1000000000004</v>
      </c>
      <c r="V120" s="99">
        <f t="shared" si="26"/>
        <v>4685.478292602741</v>
      </c>
      <c r="W120" s="32">
        <f t="shared" si="23"/>
        <v>4779.1878584547958</v>
      </c>
      <c r="X120" s="32">
        <f t="shared" si="24"/>
        <v>4872.8974243068506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29</v>
      </c>
      <c r="AM120" s="117">
        <f t="shared" si="11"/>
        <v>457983921</v>
      </c>
      <c r="AN120" s="99"/>
      <c r="AO120" t="s">
        <v>25</v>
      </c>
      <c r="AP120" t="s">
        <v>25</v>
      </c>
    </row>
    <row r="121" spans="6:43">
      <c r="K121" s="5" t="s">
        <v>4412</v>
      </c>
      <c r="L121" s="169">
        <v>1100000</v>
      </c>
      <c r="M121" s="169">
        <v>3191000</v>
      </c>
      <c r="N121" s="168">
        <f t="shared" si="31"/>
        <v>190.09090909090909</v>
      </c>
      <c r="Q121" s="117">
        <v>989631</v>
      </c>
      <c r="R121" s="19" t="s">
        <v>4796</v>
      </c>
      <c r="S121" s="19">
        <f>S120</f>
        <v>-1</v>
      </c>
      <c r="T121" s="19" t="s">
        <v>4803</v>
      </c>
      <c r="U121" s="219">
        <v>3863</v>
      </c>
      <c r="V121" s="99">
        <f t="shared" si="26"/>
        <v>3903.3022027397269</v>
      </c>
      <c r="W121" s="32">
        <f t="shared" si="23"/>
        <v>3981.3682467945214</v>
      </c>
      <c r="X121" s="32">
        <f t="shared" si="24"/>
        <v>4059.4342908493163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26</v>
      </c>
      <c r="AM121" s="117">
        <f t="shared" ref="AM121:AM147" si="33">AJ121*AL121</f>
        <v>228800000</v>
      </c>
      <c r="AN121" s="99"/>
      <c r="AP121" t="s">
        <v>25</v>
      </c>
    </row>
    <row r="122" spans="6:43" ht="45">
      <c r="K122" s="5" t="s">
        <v>4546</v>
      </c>
      <c r="L122" s="169">
        <v>1100000</v>
      </c>
      <c r="M122" s="169">
        <v>5623000</v>
      </c>
      <c r="N122" s="168">
        <f t="shared" si="31"/>
        <v>411.18181818181819</v>
      </c>
      <c r="Q122" s="117">
        <v>441608</v>
      </c>
      <c r="R122" s="19" t="s">
        <v>4796</v>
      </c>
      <c r="S122" s="19">
        <f>S121</f>
        <v>-1</v>
      </c>
      <c r="T122" s="19" t="s">
        <v>4804</v>
      </c>
      <c r="U122" s="219">
        <v>169</v>
      </c>
      <c r="V122" s="99">
        <f t="shared" si="26"/>
        <v>170.76315616438359</v>
      </c>
      <c r="W122" s="32">
        <f t="shared" si="23"/>
        <v>174.17841928767126</v>
      </c>
      <c r="X122" s="32">
        <f t="shared" si="24"/>
        <v>177.59368241095893</v>
      </c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26</v>
      </c>
      <c r="AM122" s="79">
        <f t="shared" si="33"/>
        <v>339861912</v>
      </c>
      <c r="AN122" s="210" t="s">
        <v>4641</v>
      </c>
      <c r="AQ122" t="s">
        <v>25</v>
      </c>
    </row>
    <row r="123" spans="6:43">
      <c r="K123" s="19" t="s">
        <v>4397</v>
      </c>
      <c r="L123" s="169">
        <v>1100000</v>
      </c>
      <c r="M123" s="169">
        <v>7728000</v>
      </c>
      <c r="N123" s="168">
        <f t="shared" si="31"/>
        <v>602.5454545454545</v>
      </c>
      <c r="Q123" s="117">
        <v>5001091</v>
      </c>
      <c r="R123" s="19" t="s">
        <v>4807</v>
      </c>
      <c r="S123" s="19">
        <f>S122-1</f>
        <v>-2</v>
      </c>
      <c r="T123" s="19" t="s">
        <v>4809</v>
      </c>
      <c r="U123" s="219"/>
      <c r="V123" s="99"/>
      <c r="W123" s="32"/>
      <c r="X123" s="32"/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25</v>
      </c>
      <c r="AM123" s="90">
        <f t="shared" si="33"/>
        <v>418175925</v>
      </c>
      <c r="AN123" s="89" t="s">
        <v>4655</v>
      </c>
    </row>
    <row r="124" spans="6:43">
      <c r="K124" s="5" t="s">
        <v>4548</v>
      </c>
      <c r="L124" s="169">
        <v>1100000</v>
      </c>
      <c r="M124" s="169">
        <v>2904000</v>
      </c>
      <c r="N124" s="168">
        <f t="shared" si="31"/>
        <v>164</v>
      </c>
      <c r="Q124" s="117"/>
      <c r="R124" s="19"/>
      <c r="S124" s="19"/>
      <c r="T124" s="19"/>
      <c r="U124" s="219"/>
      <c r="V124" s="99"/>
      <c r="W124" s="32"/>
      <c r="X124" s="32"/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25</v>
      </c>
      <c r="AM124" s="117">
        <f t="shared" si="33"/>
        <v>300000000</v>
      </c>
      <c r="AN124" s="99" t="s">
        <v>4656</v>
      </c>
    </row>
    <row r="125" spans="6:43">
      <c r="K125" s="56" t="s">
        <v>1086</v>
      </c>
      <c r="L125" s="169">
        <v>1100000</v>
      </c>
      <c r="M125" s="169">
        <v>3400000</v>
      </c>
      <c r="N125" s="168">
        <f t="shared" si="31"/>
        <v>209.09090909090909</v>
      </c>
      <c r="P125" s="114"/>
      <c r="Q125" s="169"/>
      <c r="R125" s="168"/>
      <c r="S125" s="168"/>
      <c r="T125" s="168"/>
      <c r="U125" s="168"/>
      <c r="V125" s="99"/>
      <c r="W125" s="32"/>
      <c r="X125" s="32"/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24</v>
      </c>
      <c r="AM125" s="90">
        <f t="shared" si="33"/>
        <v>2128744008</v>
      </c>
      <c r="AN125" s="89" t="s">
        <v>4657</v>
      </c>
      <c r="AP125" t="s">
        <v>25</v>
      </c>
    </row>
    <row r="126" spans="6:43">
      <c r="K126" s="208" t="s">
        <v>4580</v>
      </c>
      <c r="Q126" s="169"/>
      <c r="R126" s="168"/>
      <c r="S126" s="168"/>
      <c r="T126" s="168"/>
      <c r="U126" s="168"/>
      <c r="V126" s="99">
        <f>U126*(1+$N$86+$Q$15*S126/36500)</f>
        <v>0</v>
      </c>
      <c r="W126" s="32">
        <f t="shared" si="23"/>
        <v>0</v>
      </c>
      <c r="X126" s="32">
        <f t="shared" si="24"/>
        <v>0</v>
      </c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23</v>
      </c>
      <c r="AM126" s="117">
        <f t="shared" si="33"/>
        <v>2323000</v>
      </c>
      <c r="AN126" s="99"/>
    </row>
    <row r="127" spans="6:43">
      <c r="K127" s="208" t="s">
        <v>4581</v>
      </c>
      <c r="Q127" s="113">
        <f>SUM(N44:N55)-SUM(Q65:Q126)</f>
        <v>-19406860.899999976</v>
      </c>
      <c r="R127" s="112"/>
      <c r="S127" s="112"/>
      <c r="T127" s="112"/>
      <c r="U127" s="168"/>
      <c r="V127" s="99" t="s">
        <v>25</v>
      </c>
      <c r="W127" s="32"/>
      <c r="X127" s="32"/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23</v>
      </c>
      <c r="AM127" s="190">
        <f t="shared" si="33"/>
        <v>-1108600</v>
      </c>
      <c r="AN127" s="149" t="s">
        <v>4665</v>
      </c>
      <c r="AQ127" t="s">
        <v>25</v>
      </c>
    </row>
    <row r="128" spans="6:43">
      <c r="K128" s="208" t="s">
        <v>4582</v>
      </c>
      <c r="Q128" s="26"/>
      <c r="R128" s="182"/>
      <c r="S128" s="182"/>
      <c r="T128" t="s">
        <v>25</v>
      </c>
      <c r="U128" s="96" t="s">
        <v>25</v>
      </c>
      <c r="V128" s="96" t="s">
        <v>25</v>
      </c>
      <c r="W128" s="96" t="s">
        <v>25</v>
      </c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23</v>
      </c>
      <c r="AM128" s="190">
        <f t="shared" si="33"/>
        <v>904527739</v>
      </c>
      <c r="AN128" s="89" t="s">
        <v>4666</v>
      </c>
    </row>
    <row r="129" spans="16:44">
      <c r="R129" s="32" t="s">
        <v>4584</v>
      </c>
      <c r="S129" s="32" t="s">
        <v>950</v>
      </c>
      <c r="T129" t="s">
        <v>25</v>
      </c>
      <c r="U129" s="96" t="s">
        <v>25</v>
      </c>
      <c r="V129" s="96" t="s">
        <v>25</v>
      </c>
      <c r="W129" s="96" t="s">
        <v>25</v>
      </c>
      <c r="X129" s="122" t="s">
        <v>25</v>
      </c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19</v>
      </c>
      <c r="AM129" s="90">
        <f t="shared" si="33"/>
        <v>166231950</v>
      </c>
      <c r="AN129" s="89" t="s">
        <v>4686</v>
      </c>
    </row>
    <row r="130" spans="16:44">
      <c r="P130" s="114"/>
      <c r="R130" s="32">
        <v>27060</v>
      </c>
      <c r="S130" s="169">
        <v>13293737</v>
      </c>
      <c r="U130" s="96" t="s">
        <v>25</v>
      </c>
      <c r="V130" s="122" t="s">
        <v>25</v>
      </c>
      <c r="X130" t="s">
        <v>25</v>
      </c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18</v>
      </c>
      <c r="AM130" s="117">
        <f t="shared" si="33"/>
        <v>1080000</v>
      </c>
      <c r="AN130" s="99" t="s">
        <v>4689</v>
      </c>
      <c r="AQ130" t="s">
        <v>25</v>
      </c>
    </row>
    <row r="131" spans="16:44">
      <c r="P131">
        <f>49555+R138</f>
        <v>1021691</v>
      </c>
      <c r="Q131" t="s">
        <v>25</v>
      </c>
      <c r="R131" s="32">
        <v>10000</v>
      </c>
      <c r="S131" s="1">
        <f>S130*R131/R130</f>
        <v>4912689.2091648187</v>
      </c>
      <c r="U131" s="96" t="s">
        <v>25</v>
      </c>
      <c r="V131" s="122" t="s">
        <v>25</v>
      </c>
      <c r="W131" s="96" t="s">
        <v>25</v>
      </c>
      <c r="X131" t="s">
        <v>25</v>
      </c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17</v>
      </c>
      <c r="AM131" s="117">
        <f t="shared" si="33"/>
        <v>80750000</v>
      </c>
      <c r="AN131" s="20"/>
    </row>
    <row r="132" spans="16:44">
      <c r="R132" s="32">
        <f>R130-R131</f>
        <v>17060</v>
      </c>
      <c r="S132" s="1">
        <f>R132*S130/R130</f>
        <v>8381047.7908351813</v>
      </c>
      <c r="V132" s="96"/>
      <c r="W132"/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17</v>
      </c>
      <c r="AM132" s="90">
        <f t="shared" si="33"/>
        <v>222719720</v>
      </c>
      <c r="AN132" s="89" t="s">
        <v>4703</v>
      </c>
    </row>
    <row r="133" spans="16:44">
      <c r="V133" s="96"/>
      <c r="W133"/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16</v>
      </c>
      <c r="AM133" s="117">
        <f t="shared" si="33"/>
        <v>-15680000</v>
      </c>
      <c r="AN133" s="20"/>
    </row>
    <row r="134" spans="16:44">
      <c r="Q134" s="99" t="s">
        <v>4466</v>
      </c>
      <c r="R134" s="99" t="s">
        <v>4468</v>
      </c>
      <c r="S134" s="99"/>
      <c r="T134" s="99" t="s">
        <v>4469</v>
      </c>
      <c r="U134" s="99"/>
      <c r="V134" s="99"/>
      <c r="W134" s="99" t="s">
        <v>4587</v>
      </c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16</v>
      </c>
      <c r="AM134" s="90">
        <f t="shared" si="33"/>
        <v>212828640</v>
      </c>
      <c r="AN134" s="89" t="s">
        <v>4703</v>
      </c>
    </row>
    <row r="135" spans="16:44">
      <c r="Q135" s="113">
        <v>1000</v>
      </c>
      <c r="R135" s="99">
        <v>0.25</v>
      </c>
      <c r="S135" s="99"/>
      <c r="T135" s="99">
        <f>1-R135</f>
        <v>0.75</v>
      </c>
      <c r="U135" s="99"/>
      <c r="V135" s="99"/>
      <c r="W135" s="99"/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16</v>
      </c>
      <c r="AM135" s="117">
        <f t="shared" si="33"/>
        <v>6464000</v>
      </c>
      <c r="AN135" s="20" t="s">
        <v>4717</v>
      </c>
      <c r="AQ135" t="s">
        <v>25</v>
      </c>
    </row>
    <row r="136" spans="16:44">
      <c r="Q136" s="168" t="s">
        <v>4453</v>
      </c>
      <c r="R136" s="168" t="s">
        <v>4471</v>
      </c>
      <c r="S136" s="168" t="s">
        <v>4473</v>
      </c>
      <c r="T136" s="168" t="s">
        <v>180</v>
      </c>
      <c r="U136" s="168" t="s">
        <v>4467</v>
      </c>
      <c r="V136" s="56" t="s">
        <v>4470</v>
      </c>
      <c r="W136" s="99"/>
      <c r="X136" s="115"/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11</v>
      </c>
      <c r="AM136" s="90">
        <f t="shared" si="33"/>
        <v>47207908</v>
      </c>
      <c r="AN136" s="89" t="s">
        <v>4748</v>
      </c>
    </row>
    <row r="137" spans="16:44">
      <c r="Q137" s="168" t="s">
        <v>751</v>
      </c>
      <c r="R137" s="56">
        <v>1368793</v>
      </c>
      <c r="S137" s="113">
        <f>R137*$T$194</f>
        <v>338826987.08907527</v>
      </c>
      <c r="T137" s="168" t="s">
        <v>4465</v>
      </c>
      <c r="U137" s="168">
        <f>$Q$135*$T$135*S137/$R$161</f>
        <v>427.96910819302815</v>
      </c>
      <c r="V137" s="95">
        <f>S137+U137</f>
        <v>338827415.05818343</v>
      </c>
      <c r="W137" s="99">
        <f>R137*100/U191</f>
        <v>57.062547759070419</v>
      </c>
      <c r="X137" s="224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9</v>
      </c>
      <c r="AM137" s="117">
        <f t="shared" si="33"/>
        <v>9000</v>
      </c>
      <c r="AN137" s="20"/>
    </row>
    <row r="138" spans="16:44">
      <c r="Q138" s="168" t="s">
        <v>4455</v>
      </c>
      <c r="R138" s="56">
        <v>972136</v>
      </c>
      <c r="S138" s="113">
        <f>R138*$T$194</f>
        <v>240639681.76402515</v>
      </c>
      <c r="T138" s="168" t="s">
        <v>4465</v>
      </c>
      <c r="U138" s="168">
        <f>$Q$135*$T$135*S138/$R$161+Q135*R135</f>
        <v>553.94966730713668</v>
      </c>
      <c r="V138" s="95">
        <f>S138+U138</f>
        <v>240640235.71369246</v>
      </c>
      <c r="W138" s="99">
        <f>R138*100/U191</f>
        <v>40.526622307618233</v>
      </c>
      <c r="X138" s="115"/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4</v>
      </c>
      <c r="AM138" s="79">
        <f t="shared" si="33"/>
        <v>34957836</v>
      </c>
      <c r="AN138" s="121" t="s">
        <v>4686</v>
      </c>
    </row>
    <row r="139" spans="16:44">
      <c r="Q139" s="168" t="s">
        <v>4454</v>
      </c>
      <c r="R139" s="56">
        <v>57830</v>
      </c>
      <c r="S139" s="113">
        <f>R139*$T$194</f>
        <v>14315067.846899584</v>
      </c>
      <c r="T139" s="168" t="s">
        <v>4465</v>
      </c>
      <c r="U139" s="168">
        <f>$Q$135*$T$135*S139/$R$161</f>
        <v>18.081224499835123</v>
      </c>
      <c r="V139" s="95">
        <f>S139+U139</f>
        <v>14315085.928124083</v>
      </c>
      <c r="W139" s="99">
        <f>R139*100/U191</f>
        <v>2.4108299333113496</v>
      </c>
      <c r="X139" s="115"/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2</v>
      </c>
      <c r="AM139" s="79">
        <f t="shared" si="33"/>
        <v>35190556</v>
      </c>
      <c r="AN139" s="121" t="s">
        <v>4770</v>
      </c>
    </row>
    <row r="140" spans="16:44">
      <c r="Q140" s="168"/>
      <c r="R140" s="56"/>
      <c r="S140" s="168"/>
      <c r="T140" s="168"/>
      <c r="U140" s="168"/>
      <c r="V140" s="99"/>
      <c r="W140" s="99"/>
      <c r="X140" s="115"/>
      <c r="AH140" s="121">
        <v>120</v>
      </c>
      <c r="AI140" s="79" t="s">
        <v>4768</v>
      </c>
      <c r="AJ140" s="79">
        <v>13335309</v>
      </c>
      <c r="AK140" s="121">
        <v>1</v>
      </c>
      <c r="AL140" s="121">
        <f t="shared" si="34"/>
        <v>1</v>
      </c>
      <c r="AM140" s="79">
        <f t="shared" si="33"/>
        <v>13335309</v>
      </c>
      <c r="AN140" s="121" t="s">
        <v>4703</v>
      </c>
    </row>
    <row r="141" spans="16:44">
      <c r="Q141" s="168"/>
      <c r="R141" s="56"/>
      <c r="S141" s="168"/>
      <c r="T141" s="168"/>
      <c r="U141" s="168"/>
      <c r="V141" s="168"/>
      <c r="W141" s="99"/>
      <c r="X141" s="96"/>
      <c r="AH141" s="20"/>
      <c r="AI141" s="117"/>
      <c r="AJ141" s="117"/>
      <c r="AK141" s="20"/>
      <c r="AL141" s="20">
        <f t="shared" si="34"/>
        <v>0</v>
      </c>
      <c r="AM141" s="117">
        <f t="shared" si="33"/>
        <v>0</v>
      </c>
      <c r="AN141" s="20"/>
      <c r="AP141" t="s">
        <v>25</v>
      </c>
      <c r="AR141" t="s">
        <v>25</v>
      </c>
    </row>
    <row r="142" spans="16:44">
      <c r="Q142" s="168"/>
      <c r="R142" s="168"/>
      <c r="S142" s="168"/>
      <c r="T142" s="168"/>
      <c r="U142" s="168"/>
      <c r="V142" s="168"/>
      <c r="W142" s="99"/>
      <c r="X142" s="96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6:44">
      <c r="Q143" s="99"/>
      <c r="R143" s="99"/>
      <c r="S143" s="99"/>
      <c r="T143" s="99" t="s">
        <v>25</v>
      </c>
      <c r="U143" s="99"/>
      <c r="V143" s="99"/>
      <c r="W143" s="99"/>
      <c r="X143" s="96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6:44">
      <c r="P144" s="114"/>
      <c r="Q144" s="99"/>
      <c r="R144" s="99"/>
      <c r="S144" s="99"/>
      <c r="T144" s="99"/>
      <c r="U144" s="99"/>
      <c r="V144" s="99"/>
      <c r="W144" s="99"/>
      <c r="X144" s="96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9"/>
      <c r="R145" s="99"/>
      <c r="S145" s="99"/>
      <c r="T145" s="99"/>
      <c r="U145" s="99"/>
      <c r="V145" s="99"/>
      <c r="W145" s="99"/>
      <c r="X145" s="96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96"/>
      <c r="R146" s="96"/>
      <c r="S146" s="96"/>
      <c r="T146" s="96"/>
      <c r="V146" s="96"/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Q147" s="96"/>
      <c r="R147" s="96"/>
      <c r="S147" s="96"/>
      <c r="T147" s="96"/>
      <c r="V147" s="96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96"/>
      <c r="R148" s="96"/>
      <c r="S148" s="96"/>
      <c r="T148" s="96" t="s">
        <v>25</v>
      </c>
      <c r="V148" s="96"/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6"/>
      <c r="R149" s="96"/>
      <c r="S149" s="96"/>
      <c r="T149" s="96"/>
      <c r="V149" s="96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6"/>
      <c r="R150" s="96"/>
      <c r="S150" s="96"/>
      <c r="T150" s="99" t="s">
        <v>180</v>
      </c>
      <c r="U150" s="99" t="s">
        <v>4489</v>
      </c>
      <c r="V150" s="99" t="s">
        <v>4490</v>
      </c>
      <c r="W150" s="99" t="s">
        <v>4500</v>
      </c>
      <c r="X150" s="99" t="s">
        <v>8</v>
      </c>
      <c r="AH150" s="99"/>
      <c r="AI150" s="99"/>
      <c r="AJ150" s="99"/>
      <c r="AK150" s="99"/>
      <c r="AL150" s="99"/>
      <c r="AM150" s="99"/>
      <c r="AN150" s="99"/>
    </row>
    <row r="151" spans="16:44">
      <c r="Q151" s="36" t="s">
        <v>4583</v>
      </c>
      <c r="R151" s="95">
        <f>SUM(N44:N55)</f>
        <v>500093220.10000002</v>
      </c>
      <c r="T151" s="113" t="s">
        <v>4465</v>
      </c>
      <c r="U151" s="56">
        <v>1000000</v>
      </c>
      <c r="V151" s="113">
        <v>239.024</v>
      </c>
      <c r="W151" s="113">
        <f t="shared" ref="W151:W188" si="35">U151*V151</f>
        <v>239024000</v>
      </c>
      <c r="X151" s="99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 t="s">
        <v>4456</v>
      </c>
      <c r="R152" s="95">
        <f>SUM(N21:N25)</f>
        <v>88576096.200000003</v>
      </c>
      <c r="T152" s="168" t="s">
        <v>4447</v>
      </c>
      <c r="U152" s="56">
        <v>5904</v>
      </c>
      <c r="V152" s="113">
        <v>237.148</v>
      </c>
      <c r="W152" s="113">
        <f t="shared" si="35"/>
        <v>1400121.7919999999</v>
      </c>
      <c r="X152" s="99" t="s">
        <v>751</v>
      </c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 t="s">
        <v>4457</v>
      </c>
      <c r="R153" s="95">
        <f>SUM(N28:N31)</f>
        <v>3976088.4</v>
      </c>
      <c r="T153" s="168" t="s">
        <v>4232</v>
      </c>
      <c r="U153" s="168">
        <v>1000</v>
      </c>
      <c r="V153" s="113">
        <v>247.393</v>
      </c>
      <c r="W153" s="113">
        <f t="shared" si="35"/>
        <v>247393</v>
      </c>
      <c r="X153" s="99" t="s">
        <v>751</v>
      </c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9" t="s">
        <v>4458</v>
      </c>
      <c r="R154" s="95">
        <f>N42</f>
        <v>1718</v>
      </c>
      <c r="T154" s="168" t="s">
        <v>4502</v>
      </c>
      <c r="U154" s="168">
        <v>8071</v>
      </c>
      <c r="V154" s="113">
        <v>247.797</v>
      </c>
      <c r="W154" s="113">
        <f t="shared" si="35"/>
        <v>1999969.5870000001</v>
      </c>
      <c r="X154" s="99" t="s">
        <v>4454</v>
      </c>
      <c r="AI154" t="s">
        <v>4064</v>
      </c>
      <c r="AJ154" s="114">
        <f>SUM(N42:N55)</f>
        <v>500094938.10000002</v>
      </c>
    </row>
    <row r="155" spans="16:44">
      <c r="Q155" s="99" t="s">
        <v>4459</v>
      </c>
      <c r="R155" s="95">
        <f>N20</f>
        <v>52114</v>
      </c>
      <c r="T155" s="168" t="s">
        <v>4502</v>
      </c>
      <c r="U155" s="168">
        <v>53672</v>
      </c>
      <c r="V155" s="113">
        <v>247.797</v>
      </c>
      <c r="W155" s="113">
        <f t="shared" si="35"/>
        <v>13299760.584000001</v>
      </c>
      <c r="X155" s="99" t="s">
        <v>452</v>
      </c>
      <c r="AI155" t="s">
        <v>4136</v>
      </c>
      <c r="AJ155" s="114">
        <f>AJ154-AJ148</f>
        <v>10768852.100000024</v>
      </c>
      <c r="AM155" t="s">
        <v>25</v>
      </c>
    </row>
    <row r="156" spans="16:44">
      <c r="P156" s="114"/>
      <c r="Q156" s="99" t="s">
        <v>4460</v>
      </c>
      <c r="R156" s="95">
        <f>N27</f>
        <v>2881</v>
      </c>
      <c r="T156" s="168" t="s">
        <v>4512</v>
      </c>
      <c r="U156" s="168">
        <v>4099</v>
      </c>
      <c r="V156" s="113">
        <v>243.93</v>
      </c>
      <c r="W156" s="113">
        <f t="shared" si="35"/>
        <v>999869.07000000007</v>
      </c>
      <c r="X156" s="99" t="s">
        <v>4454</v>
      </c>
      <c r="AI156" t="s">
        <v>943</v>
      </c>
      <c r="AJ156" s="114">
        <f>AN148</f>
        <v>28229716.69483871</v>
      </c>
    </row>
    <row r="157" spans="16:44">
      <c r="P157" s="114"/>
      <c r="Q157" s="99" t="s">
        <v>4472</v>
      </c>
      <c r="R157" s="95">
        <v>595655</v>
      </c>
      <c r="T157" s="168" t="s">
        <v>4512</v>
      </c>
      <c r="U157" s="168">
        <v>9301</v>
      </c>
      <c r="V157" s="113">
        <v>243.93</v>
      </c>
      <c r="W157" s="113">
        <f t="shared" si="35"/>
        <v>2268792.9300000002</v>
      </c>
      <c r="X157" s="99" t="s">
        <v>452</v>
      </c>
      <c r="AI157" t="s">
        <v>4065</v>
      </c>
      <c r="AJ157" s="114">
        <f>AJ154-AJ153</f>
        <v>-17460864.594838679</v>
      </c>
      <c r="AN157" t="s">
        <v>25</v>
      </c>
    </row>
    <row r="158" spans="16:44">
      <c r="Q158" s="99" t="s">
        <v>4708</v>
      </c>
      <c r="R158" s="95">
        <v>0</v>
      </c>
      <c r="T158" s="168" t="s">
        <v>4519</v>
      </c>
      <c r="U158" s="168">
        <v>8334</v>
      </c>
      <c r="V158" s="113">
        <v>239.97</v>
      </c>
      <c r="W158" s="113">
        <f t="shared" si="35"/>
        <v>1999909.98</v>
      </c>
      <c r="X158" s="99" t="s">
        <v>4454</v>
      </c>
      <c r="AM158" t="s">
        <v>25</v>
      </c>
    </row>
    <row r="159" spans="16:44">
      <c r="Q159" s="99" t="s">
        <v>4764</v>
      </c>
      <c r="R159" s="95">
        <v>500000</v>
      </c>
      <c r="T159" s="168" t="s">
        <v>4231</v>
      </c>
      <c r="U159" s="168">
        <v>29041</v>
      </c>
      <c r="V159" s="113">
        <v>233.45</v>
      </c>
      <c r="W159" s="113">
        <f t="shared" si="35"/>
        <v>6779621.4499999993</v>
      </c>
      <c r="X159" s="99" t="s">
        <v>751</v>
      </c>
      <c r="AJ159" t="s">
        <v>25</v>
      </c>
    </row>
    <row r="160" spans="16:44">
      <c r="Q160" s="99" t="s">
        <v>4742</v>
      </c>
      <c r="R160" s="95">
        <v>-16036</v>
      </c>
      <c r="S160" s="115"/>
      <c r="T160" s="168" t="s">
        <v>994</v>
      </c>
      <c r="U160" s="168">
        <v>12337</v>
      </c>
      <c r="V160" s="113">
        <v>243.16300000000001</v>
      </c>
      <c r="W160" s="113">
        <f t="shared" si="35"/>
        <v>2999901.9310000003</v>
      </c>
      <c r="X160" s="99" t="s">
        <v>4454</v>
      </c>
    </row>
    <row r="161" spans="17:40">
      <c r="Q161" s="99" t="s">
        <v>4464</v>
      </c>
      <c r="R161" s="95">
        <f>SUM(R151:R160)</f>
        <v>593781736.70000005</v>
      </c>
      <c r="S161" s="122"/>
      <c r="T161" s="168" t="s">
        <v>4607</v>
      </c>
      <c r="U161" s="168">
        <v>-16118</v>
      </c>
      <c r="V161" s="113">
        <v>248.17</v>
      </c>
      <c r="W161" s="113">
        <f t="shared" si="35"/>
        <v>-4000004.0599999996</v>
      </c>
      <c r="X161" s="99" t="s">
        <v>751</v>
      </c>
    </row>
    <row r="162" spans="17:40">
      <c r="Q162" s="96"/>
      <c r="S162" s="115"/>
      <c r="T162" s="168" t="s">
        <v>4638</v>
      </c>
      <c r="U162" s="168">
        <v>101681</v>
      </c>
      <c r="V162" s="113">
        <v>246.5711</v>
      </c>
      <c r="W162" s="113">
        <f t="shared" si="35"/>
        <v>25071596.019099999</v>
      </c>
      <c r="X162" s="99" t="s">
        <v>452</v>
      </c>
    </row>
    <row r="163" spans="17:40">
      <c r="Q163" s="96"/>
      <c r="R163" s="183"/>
      <c r="S163" s="115"/>
      <c r="T163" s="168" t="s">
        <v>4644</v>
      </c>
      <c r="U163" s="168">
        <v>66606</v>
      </c>
      <c r="V163" s="113">
        <v>251.131</v>
      </c>
      <c r="W163" s="113">
        <f t="shared" si="35"/>
        <v>16726831.386</v>
      </c>
      <c r="X163" s="99" t="s">
        <v>751</v>
      </c>
    </row>
    <row r="164" spans="17:40">
      <c r="Q164" s="96"/>
      <c r="R164" s="183"/>
      <c r="T164" s="168" t="s">
        <v>4651</v>
      </c>
      <c r="U164" s="168">
        <v>172025</v>
      </c>
      <c r="V164" s="113">
        <v>245.52809999999999</v>
      </c>
      <c r="W164" s="113">
        <f t="shared" si="35"/>
        <v>42236971.402499996</v>
      </c>
      <c r="X164" s="99" t="s">
        <v>452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7:40">
      <c r="Q165" s="96"/>
      <c r="R165" s="115"/>
      <c r="T165" s="168" t="s">
        <v>4651</v>
      </c>
      <c r="U165" s="168">
        <v>189227</v>
      </c>
      <c r="V165" s="113">
        <v>245.52809999999999</v>
      </c>
      <c r="W165" s="113">
        <f t="shared" si="35"/>
        <v>46460545.778700002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213</v>
      </c>
      <c r="AM165" s="99">
        <f>AJ165*AL165</f>
        <v>757389660</v>
      </c>
      <c r="AN165" s="99" t="s">
        <v>4313</v>
      </c>
    </row>
    <row r="166" spans="17:40">
      <c r="T166" s="168" t="s">
        <v>4654</v>
      </c>
      <c r="U166" s="168">
        <v>79720</v>
      </c>
      <c r="V166" s="113">
        <v>246.6568</v>
      </c>
      <c r="W166" s="113">
        <f t="shared" si="35"/>
        <v>19663480.096000001</v>
      </c>
      <c r="X166" s="99" t="s">
        <v>452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211</v>
      </c>
      <c r="AM166" s="99">
        <f t="shared" ref="AM166:AM194" si="37">AJ166*AL166</f>
        <v>363096607</v>
      </c>
      <c r="AN166" s="99" t="s">
        <v>4314</v>
      </c>
    </row>
    <row r="167" spans="17:40">
      <c r="Q167" s="99" t="s">
        <v>4454</v>
      </c>
      <c r="R167" s="99"/>
      <c r="T167" s="168" t="s">
        <v>4654</v>
      </c>
      <c r="U167" s="168">
        <v>79720</v>
      </c>
      <c r="V167" s="113">
        <v>246.6568</v>
      </c>
      <c r="W167" s="113">
        <f t="shared" si="35"/>
        <v>19663480.096000001</v>
      </c>
      <c r="X167" s="99" t="s">
        <v>751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160</v>
      </c>
      <c r="AM167" s="99">
        <f t="shared" si="37"/>
        <v>24000000</v>
      </c>
      <c r="AN167" s="99"/>
    </row>
    <row r="168" spans="17:40">
      <c r="Q168" s="36" t="s">
        <v>180</v>
      </c>
      <c r="R168" s="99" t="s">
        <v>267</v>
      </c>
      <c r="T168" s="168" t="s">
        <v>4682</v>
      </c>
      <c r="U168" s="168">
        <v>17769</v>
      </c>
      <c r="V168" s="113">
        <v>246.17877999999999</v>
      </c>
      <c r="W168" s="113">
        <f t="shared" si="35"/>
        <v>4374350.7418200001</v>
      </c>
      <c r="X168" s="99" t="s">
        <v>751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157</v>
      </c>
      <c r="AM168" s="99">
        <f t="shared" si="37"/>
        <v>-14915000</v>
      </c>
      <c r="AN168" s="99"/>
    </row>
    <row r="169" spans="17:40">
      <c r="Q169" s="99" t="s">
        <v>4447</v>
      </c>
      <c r="R169" s="95">
        <v>3000000</v>
      </c>
      <c r="T169" s="168" t="s">
        <v>4682</v>
      </c>
      <c r="U169" s="168">
        <v>17769</v>
      </c>
      <c r="V169" s="113">
        <v>246.17877999999999</v>
      </c>
      <c r="W169" s="113">
        <f t="shared" si="35"/>
        <v>4374350.7418200001</v>
      </c>
      <c r="X169" s="99" t="s">
        <v>452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149</v>
      </c>
      <c r="AM169" s="99">
        <f t="shared" si="37"/>
        <v>469350000</v>
      </c>
      <c r="AN169" s="99"/>
    </row>
    <row r="170" spans="17:40">
      <c r="Q170" s="99" t="s">
        <v>4502</v>
      </c>
      <c r="R170" s="95">
        <v>2000000</v>
      </c>
      <c r="T170" s="168" t="s">
        <v>4688</v>
      </c>
      <c r="U170" s="168">
        <v>12438</v>
      </c>
      <c r="V170" s="113">
        <v>241.20465999999999</v>
      </c>
      <c r="W170" s="113">
        <f t="shared" si="35"/>
        <v>3000103.5610799999</v>
      </c>
      <c r="X170" s="99" t="s">
        <v>4454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133</v>
      </c>
      <c r="AM170" s="99">
        <f t="shared" si="37"/>
        <v>-8645000</v>
      </c>
      <c r="AN170" s="99"/>
    </row>
    <row r="171" spans="17:40">
      <c r="Q171" s="99" t="s">
        <v>4512</v>
      </c>
      <c r="R171" s="95">
        <v>1000000</v>
      </c>
      <c r="T171" s="168" t="s">
        <v>4698</v>
      </c>
      <c r="U171" s="168">
        <v>27363</v>
      </c>
      <c r="V171" s="113">
        <v>239.3886</v>
      </c>
      <c r="W171" s="113">
        <f t="shared" si="35"/>
        <v>6550390.2617999995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132</v>
      </c>
      <c r="AM171" s="99">
        <f t="shared" si="37"/>
        <v>-12540000</v>
      </c>
      <c r="AN171" s="99"/>
    </row>
    <row r="172" spans="17:40">
      <c r="Q172" s="99" t="s">
        <v>4519</v>
      </c>
      <c r="R172" s="95">
        <v>2000000</v>
      </c>
      <c r="T172" s="168" t="s">
        <v>4698</v>
      </c>
      <c r="U172" s="168">
        <v>27363</v>
      </c>
      <c r="V172" s="113">
        <v>239.3886</v>
      </c>
      <c r="W172" s="113">
        <f t="shared" si="35"/>
        <v>6550390.2617999995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126</v>
      </c>
      <c r="AM172" s="99">
        <f t="shared" si="37"/>
        <v>29232000</v>
      </c>
      <c r="AN172" s="99"/>
    </row>
    <row r="173" spans="17:40">
      <c r="Q173" s="99" t="s">
        <v>994</v>
      </c>
      <c r="R173" s="95">
        <v>3000000</v>
      </c>
      <c r="T173" s="215" t="s">
        <v>4702</v>
      </c>
      <c r="U173" s="215">
        <v>27437</v>
      </c>
      <c r="V173" s="113">
        <v>242.4015</v>
      </c>
      <c r="W173" s="113">
        <f t="shared" si="35"/>
        <v>6650769.9555000002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119</v>
      </c>
      <c r="AM173" s="99">
        <f t="shared" si="37"/>
        <v>1547000000</v>
      </c>
      <c r="AN173" s="99"/>
    </row>
    <row r="174" spans="17:40">
      <c r="Q174" s="99" t="s">
        <v>4688</v>
      </c>
      <c r="R174" s="95">
        <v>3000000</v>
      </c>
      <c r="T174" s="215" t="s">
        <v>4702</v>
      </c>
      <c r="U174" s="215">
        <v>29104</v>
      </c>
      <c r="V174" s="113">
        <v>242.4015</v>
      </c>
      <c r="W174" s="113">
        <f t="shared" si="35"/>
        <v>7054853.2560000001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117</v>
      </c>
      <c r="AM174" s="99">
        <f t="shared" si="37"/>
        <v>1170000000</v>
      </c>
      <c r="AN174" s="99"/>
    </row>
    <row r="175" spans="17:40">
      <c r="Q175" s="99"/>
      <c r="R175" s="95"/>
      <c r="T175" s="219" t="s">
        <v>4746</v>
      </c>
      <c r="U175" s="219">
        <v>8991</v>
      </c>
      <c r="V175" s="113">
        <v>238.64867000000001</v>
      </c>
      <c r="W175" s="113">
        <f t="shared" si="35"/>
        <v>2145690.19197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114</v>
      </c>
      <c r="AM175" s="99">
        <f t="shared" si="37"/>
        <v>387600000</v>
      </c>
      <c r="AN175" s="99"/>
    </row>
    <row r="176" spans="17:40">
      <c r="Q176" s="99"/>
      <c r="R176" s="95"/>
      <c r="T176" s="219" t="s">
        <v>4746</v>
      </c>
      <c r="U176" s="219">
        <v>8991</v>
      </c>
      <c r="V176" s="113">
        <v>238.64867000000001</v>
      </c>
      <c r="W176" s="113">
        <f t="shared" si="35"/>
        <v>2145690.19197</v>
      </c>
      <c r="X176" s="99" t="s">
        <v>452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105</v>
      </c>
      <c r="AM176" s="99">
        <f t="shared" si="37"/>
        <v>-917333970</v>
      </c>
      <c r="AN176" s="99"/>
    </row>
    <row r="177" spans="17:44">
      <c r="Q177" s="99"/>
      <c r="R177" s="95">
        <f>SUM(R169:R174)</f>
        <v>14000000</v>
      </c>
      <c r="T177" s="219" t="s">
        <v>4763</v>
      </c>
      <c r="U177" s="219">
        <v>18170</v>
      </c>
      <c r="V177" s="113">
        <v>240.48475999999999</v>
      </c>
      <c r="W177" s="113">
        <f t="shared" si="35"/>
        <v>4369608.0892000003</v>
      </c>
      <c r="X177" s="99" t="s">
        <v>751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104</v>
      </c>
      <c r="AM177" s="99">
        <f t="shared" si="37"/>
        <v>57720000</v>
      </c>
      <c r="AN177" s="99"/>
    </row>
    <row r="178" spans="17:44">
      <c r="Q178" s="99"/>
      <c r="R178" s="99" t="s">
        <v>6</v>
      </c>
      <c r="S178" t="s">
        <v>25</v>
      </c>
      <c r="T178" s="219" t="s">
        <v>4763</v>
      </c>
      <c r="U178" s="219">
        <v>18170</v>
      </c>
      <c r="V178" s="113">
        <v>240.48475999999999</v>
      </c>
      <c r="W178" s="113">
        <f t="shared" si="35"/>
        <v>4369608.0892000003</v>
      </c>
      <c r="X178" s="99" t="s">
        <v>452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99</v>
      </c>
      <c r="AM178" s="99">
        <f t="shared" si="37"/>
        <v>-44382492</v>
      </c>
      <c r="AN178" s="99"/>
    </row>
    <row r="179" spans="17:44">
      <c r="T179" s="219" t="s">
        <v>4768</v>
      </c>
      <c r="U179" s="219">
        <v>36797</v>
      </c>
      <c r="V179" s="113">
        <v>239.0822</v>
      </c>
      <c r="W179" s="113">
        <f t="shared" si="35"/>
        <v>8797507.7134000007</v>
      </c>
      <c r="X179" s="99" t="s">
        <v>751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93</v>
      </c>
      <c r="AM179" s="99">
        <f t="shared" si="37"/>
        <v>3089925</v>
      </c>
      <c r="AN179" s="99"/>
    </row>
    <row r="180" spans="17:44">
      <c r="Q180" s="96"/>
      <c r="R180" s="96"/>
      <c r="T180" s="219" t="s">
        <v>4768</v>
      </c>
      <c r="U180" s="219">
        <v>36797</v>
      </c>
      <c r="V180" s="113">
        <v>239.0822</v>
      </c>
      <c r="W180" s="113">
        <f t="shared" si="35"/>
        <v>8797507.7134000007</v>
      </c>
      <c r="X180" s="99" t="s">
        <v>452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93</v>
      </c>
      <c r="AM180" s="149">
        <f t="shared" si="37"/>
        <v>381162639</v>
      </c>
      <c r="AN180" s="149" t="s">
        <v>657</v>
      </c>
      <c r="AR180" t="s">
        <v>25</v>
      </c>
    </row>
    <row r="181" spans="17:44">
      <c r="Q181" s="96"/>
      <c r="R181" s="96"/>
      <c r="T181" s="219" t="s">
        <v>4782</v>
      </c>
      <c r="U181" s="219">
        <v>28066</v>
      </c>
      <c r="V181" s="113">
        <v>237.56970000000001</v>
      </c>
      <c r="W181" s="113">
        <f t="shared" si="35"/>
        <v>6667631.2002000008</v>
      </c>
      <c r="X181" s="99" t="s">
        <v>751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91</v>
      </c>
      <c r="AM181" s="149">
        <f t="shared" si="37"/>
        <v>-91000000</v>
      </c>
      <c r="AN181" s="149" t="s">
        <v>657</v>
      </c>
    </row>
    <row r="182" spans="17:44">
      <c r="T182" s="219" t="s">
        <v>4782</v>
      </c>
      <c r="U182" s="219">
        <v>28066</v>
      </c>
      <c r="V182" s="113">
        <v>237.56970000000001</v>
      </c>
      <c r="W182" s="113">
        <f t="shared" si="35"/>
        <v>6667631.2002000008</v>
      </c>
      <c r="X182" s="99" t="s">
        <v>452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84</v>
      </c>
      <c r="AM182" s="149">
        <f t="shared" si="37"/>
        <v>63000000</v>
      </c>
      <c r="AN182" s="149" t="s">
        <v>657</v>
      </c>
    </row>
    <row r="183" spans="17:44">
      <c r="Q183" s="99" t="s">
        <v>751</v>
      </c>
      <c r="R183" s="99"/>
      <c r="T183" s="219" t="s">
        <v>3684</v>
      </c>
      <c r="U183" s="219">
        <v>37457</v>
      </c>
      <c r="V183" s="113">
        <v>239.77</v>
      </c>
      <c r="W183" s="113">
        <f t="shared" si="35"/>
        <v>8981064.8900000006</v>
      </c>
      <c r="X183" s="99" t="s">
        <v>751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83</v>
      </c>
      <c r="AM183" s="197">
        <f t="shared" si="37"/>
        <v>-50144616</v>
      </c>
      <c r="AN183" s="197" t="s">
        <v>657</v>
      </c>
    </row>
    <row r="184" spans="17:44">
      <c r="Q184" s="99" t="s">
        <v>4447</v>
      </c>
      <c r="R184" s="95">
        <v>172908000</v>
      </c>
      <c r="T184" s="219" t="s">
        <v>3684</v>
      </c>
      <c r="U184" s="219">
        <v>37457</v>
      </c>
      <c r="V184" s="113">
        <v>239.77</v>
      </c>
      <c r="W184" s="113">
        <f t="shared" si="35"/>
        <v>8981064.8900000006</v>
      </c>
      <c r="X184" s="99" t="s">
        <v>452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83</v>
      </c>
      <c r="AM184" s="99">
        <f t="shared" si="37"/>
        <v>-48727889</v>
      </c>
      <c r="AN184" s="99"/>
    </row>
    <row r="185" spans="17:44">
      <c r="Q185" s="99" t="s">
        <v>4488</v>
      </c>
      <c r="R185" s="95">
        <v>1400000</v>
      </c>
      <c r="T185" s="219" t="s">
        <v>4796</v>
      </c>
      <c r="U185" s="219">
        <v>38412</v>
      </c>
      <c r="V185" s="113">
        <v>239.03</v>
      </c>
      <c r="W185" s="113">
        <f t="shared" si="35"/>
        <v>9181620.3599999994</v>
      </c>
      <c r="X185" s="99" t="s">
        <v>751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79</v>
      </c>
      <c r="AM185" s="197">
        <f t="shared" si="37"/>
        <v>-59593729</v>
      </c>
      <c r="AN185" s="197" t="s">
        <v>657</v>
      </c>
    </row>
    <row r="186" spans="17:44">
      <c r="Q186" s="99" t="s">
        <v>4232</v>
      </c>
      <c r="R186" s="95">
        <v>247393</v>
      </c>
      <c r="T186" s="219" t="s">
        <v>4796</v>
      </c>
      <c r="U186" s="219">
        <v>38412</v>
      </c>
      <c r="V186" s="113">
        <v>239.03</v>
      </c>
      <c r="W186" s="113">
        <f t="shared" si="35"/>
        <v>9181620.3599999994</v>
      </c>
      <c r="X186" s="99" t="s">
        <v>452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79</v>
      </c>
      <c r="AM186" s="99">
        <f t="shared" si="37"/>
        <v>-14979901</v>
      </c>
      <c r="AN186" s="99"/>
    </row>
    <row r="187" spans="17:44">
      <c r="Q187" s="99" t="s">
        <v>4231</v>
      </c>
      <c r="R187" s="95">
        <v>6780000</v>
      </c>
      <c r="T187" s="219" t="s">
        <v>4807</v>
      </c>
      <c r="U187" s="219">
        <v>49555</v>
      </c>
      <c r="V187" s="113">
        <v>238.345</v>
      </c>
      <c r="W187" s="113">
        <f t="shared" si="35"/>
        <v>11811186.475</v>
      </c>
      <c r="X187" s="99" t="s">
        <v>751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64</v>
      </c>
      <c r="AM187" s="197">
        <f t="shared" si="37"/>
        <v>454400</v>
      </c>
      <c r="AN187" s="197" t="s">
        <v>657</v>
      </c>
    </row>
    <row r="188" spans="17:44">
      <c r="Q188" s="99" t="s">
        <v>4607</v>
      </c>
      <c r="R188" s="95">
        <v>-4000000</v>
      </c>
      <c r="T188" s="219" t="s">
        <v>4807</v>
      </c>
      <c r="U188" s="219">
        <v>49555</v>
      </c>
      <c r="V188" s="113">
        <v>238.345</v>
      </c>
      <c r="W188" s="113">
        <f t="shared" si="35"/>
        <v>11811186.475</v>
      </c>
      <c r="X188" s="99" t="s">
        <v>452</v>
      </c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64</v>
      </c>
      <c r="AM188" s="20">
        <f t="shared" si="37"/>
        <v>-9465728</v>
      </c>
      <c r="AN188" s="20"/>
    </row>
    <row r="189" spans="17:44">
      <c r="Q189" s="99" t="s">
        <v>4644</v>
      </c>
      <c r="R189" s="95">
        <v>16727037</v>
      </c>
      <c r="T189" s="168"/>
      <c r="U189" s="168"/>
      <c r="V189" s="113"/>
      <c r="W189" s="113"/>
      <c r="X189" s="99"/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61</v>
      </c>
      <c r="AM189" s="197">
        <f t="shared" si="37"/>
        <v>-2269200</v>
      </c>
      <c r="AN189" s="149" t="s">
        <v>657</v>
      </c>
    </row>
    <row r="190" spans="17:44">
      <c r="Q190" s="99" t="s">
        <v>4651</v>
      </c>
      <c r="R190" s="95">
        <v>46460683</v>
      </c>
      <c r="T190" s="168"/>
      <c r="U190" s="168"/>
      <c r="V190" s="113"/>
      <c r="W190" s="113"/>
      <c r="X190" s="99"/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57</v>
      </c>
      <c r="AM190" s="20">
        <f t="shared" si="37"/>
        <v>-21222582</v>
      </c>
      <c r="AN190" s="99"/>
    </row>
    <row r="191" spans="17:44">
      <c r="Q191" s="99" t="s">
        <v>4654</v>
      </c>
      <c r="R191" s="95">
        <v>19663646</v>
      </c>
      <c r="S191" t="s">
        <v>25</v>
      </c>
      <c r="T191" s="168"/>
      <c r="U191" s="168">
        <f>SUM(U151:U190)</f>
        <v>2398759</v>
      </c>
      <c r="V191" s="99"/>
      <c r="W191" s="99"/>
      <c r="X191" s="99"/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36</v>
      </c>
      <c r="AM191" s="20">
        <f t="shared" si="37"/>
        <v>8462232</v>
      </c>
      <c r="AN191" s="99"/>
    </row>
    <row r="192" spans="17:44">
      <c r="Q192" s="99" t="s">
        <v>4682</v>
      </c>
      <c r="R192" s="95">
        <v>4374525</v>
      </c>
      <c r="T192" s="99"/>
      <c r="U192" s="99" t="s">
        <v>6</v>
      </c>
      <c r="V192" s="99"/>
      <c r="W192" s="99"/>
      <c r="X192" s="99"/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36</v>
      </c>
      <c r="AM192" s="149">
        <f t="shared" si="37"/>
        <v>8462232</v>
      </c>
      <c r="AN192" s="149" t="s">
        <v>657</v>
      </c>
    </row>
    <row r="193" spans="17:44">
      <c r="Q193" s="99" t="s">
        <v>4698</v>
      </c>
      <c r="R193" s="95">
        <v>6550580</v>
      </c>
      <c r="T193" s="202" t="s">
        <v>4491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27</v>
      </c>
      <c r="AM193" s="149">
        <f t="shared" si="37"/>
        <v>12150000</v>
      </c>
      <c r="AN193" s="149" t="s">
        <v>657</v>
      </c>
    </row>
    <row r="194" spans="17:44">
      <c r="Q194" s="99" t="s">
        <v>4702</v>
      </c>
      <c r="R194" s="95">
        <v>6650895</v>
      </c>
      <c r="T194" s="201">
        <f>R161/U191</f>
        <v>247.53705424346506</v>
      </c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27</v>
      </c>
      <c r="AM194" s="20">
        <f t="shared" si="37"/>
        <v>12150000</v>
      </c>
      <c r="AN194" s="20"/>
    </row>
    <row r="195" spans="17:44">
      <c r="Q195" s="99" t="s">
        <v>4746</v>
      </c>
      <c r="R195" s="95">
        <v>2145814</v>
      </c>
      <c r="S195" t="s">
        <v>25</v>
      </c>
      <c r="W195" s="114"/>
      <c r="Y195" s="96">
        <f>W199/5</f>
        <v>4724483.4000000004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5</v>
      </c>
      <c r="AM195" s="149">
        <f t="shared" ref="AM195:AM198" si="40">AJ195*AL195</f>
        <v>1500000</v>
      </c>
      <c r="AN195" s="149"/>
    </row>
    <row r="196" spans="17:44" ht="30">
      <c r="Q196" s="99" t="s">
        <v>4763</v>
      </c>
      <c r="R196" s="95">
        <v>4369730</v>
      </c>
      <c r="U196" s="96" t="s">
        <v>267</v>
      </c>
      <c r="V196" t="s">
        <v>4492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5</v>
      </c>
      <c r="AM196" s="121">
        <f t="shared" si="40"/>
        <v>1444680</v>
      </c>
      <c r="AN196" s="210" t="s">
        <v>4784</v>
      </c>
    </row>
    <row r="197" spans="17:44">
      <c r="Q197" s="99" t="s">
        <v>4768</v>
      </c>
      <c r="R197" s="95">
        <v>8739459</v>
      </c>
      <c r="T197" s="114"/>
      <c r="U197" s="113">
        <v>11811208</v>
      </c>
      <c r="V197">
        <f>U197/T194</f>
        <v>47714.908929889287</v>
      </c>
      <c r="X197" t="s">
        <v>25</v>
      </c>
      <c r="AH197" s="121">
        <v>33</v>
      </c>
      <c r="AI197" s="121" t="s">
        <v>4782</v>
      </c>
      <c r="AJ197" s="79">
        <v>17962491</v>
      </c>
      <c r="AK197" s="121">
        <v>1</v>
      </c>
      <c r="AL197" s="121">
        <f t="shared" si="39"/>
        <v>2</v>
      </c>
      <c r="AM197" s="121">
        <f t="shared" si="40"/>
        <v>35924982</v>
      </c>
      <c r="AN197" s="121" t="s">
        <v>4789</v>
      </c>
      <c r="AQ197" t="s">
        <v>25</v>
      </c>
    </row>
    <row r="198" spans="17:44">
      <c r="Q198" s="99" t="s">
        <v>4782</v>
      </c>
      <c r="R198" s="95">
        <v>6667654</v>
      </c>
      <c r="X198" t="s">
        <v>25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</v>
      </c>
      <c r="AM198" s="121">
        <f t="shared" si="40"/>
        <v>18363511</v>
      </c>
      <c r="AN198" s="121" t="s">
        <v>4789</v>
      </c>
    </row>
    <row r="199" spans="17:44">
      <c r="Q199" s="99" t="s">
        <v>4790</v>
      </c>
      <c r="R199" s="95">
        <v>8981245</v>
      </c>
      <c r="W199" s="96">
        <v>23622417</v>
      </c>
      <c r="X199" s="96">
        <f>W199/2</f>
        <v>11811208.5</v>
      </c>
      <c r="AH199" s="121">
        <v>35</v>
      </c>
      <c r="AI199" s="121" t="s">
        <v>4796</v>
      </c>
      <c r="AJ199" s="79">
        <v>23622417</v>
      </c>
      <c r="AK199" s="121">
        <v>1</v>
      </c>
      <c r="AL199" s="121">
        <f t="shared" ref="AL199:AL205" si="41">AK199+AL202</f>
        <v>1</v>
      </c>
      <c r="AM199" s="121">
        <f t="shared" ref="AM199:AM205" si="42">AJ199*AL199</f>
        <v>23622417</v>
      </c>
      <c r="AN199" s="121" t="s">
        <v>4806</v>
      </c>
    </row>
    <row r="200" spans="17:44">
      <c r="Q200" s="99" t="s">
        <v>4796</v>
      </c>
      <c r="R200" s="95">
        <v>9181756</v>
      </c>
      <c r="AH200" s="121"/>
      <c r="AI200" s="121"/>
      <c r="AJ200" s="79"/>
      <c r="AK200" s="121"/>
      <c r="AL200" s="121">
        <f t="shared" si="41"/>
        <v>0</v>
      </c>
      <c r="AM200" s="121">
        <f t="shared" si="42"/>
        <v>0</v>
      </c>
      <c r="AN200" s="121"/>
      <c r="AR200" t="s">
        <v>25</v>
      </c>
    </row>
    <row r="201" spans="17:44">
      <c r="Q201" s="99" t="s">
        <v>4807</v>
      </c>
      <c r="R201" s="95">
        <v>11811208</v>
      </c>
      <c r="AH201" s="99"/>
      <c r="AI201" s="99"/>
      <c r="AJ201" s="117"/>
      <c r="AK201" s="99"/>
      <c r="AL201" s="99">
        <f t="shared" si="41"/>
        <v>0</v>
      </c>
      <c r="AM201" s="20">
        <f t="shared" si="42"/>
        <v>0</v>
      </c>
      <c r="AN201" s="99"/>
    </row>
    <row r="202" spans="17:44" ht="60">
      <c r="Q202" s="99"/>
      <c r="R202" s="95"/>
      <c r="T202" s="22" t="s">
        <v>4475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 ht="45">
      <c r="Q203" s="99"/>
      <c r="R203" s="95">
        <f>SUM(R184:R202)</f>
        <v>329659625</v>
      </c>
      <c r="T203" s="22" t="s">
        <v>4476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/>
      <c r="R204" s="99" t="s">
        <v>6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T206" s="99" t="s">
        <v>4493</v>
      </c>
      <c r="U206" s="99" t="s">
        <v>4464</v>
      </c>
      <c r="V206" s="99" t="s">
        <v>953</v>
      </c>
      <c r="AH206" s="99"/>
      <c r="AI206" s="99"/>
      <c r="AJ206" s="95">
        <f>SUM(AJ165:AJ205)</f>
        <v>89427529</v>
      </c>
      <c r="AK206" s="99"/>
      <c r="AL206" s="99"/>
      <c r="AM206" s="99">
        <f>SUM(AM165:AM205)</f>
        <v>4079955178</v>
      </c>
      <c r="AN206" s="95">
        <f>AM206*AN151/31</f>
        <v>2632229.1470967741</v>
      </c>
    </row>
    <row r="207" spans="17:44">
      <c r="Q207" s="99" t="s">
        <v>452</v>
      </c>
      <c r="R207" s="99"/>
      <c r="S207" t="s">
        <v>25</v>
      </c>
      <c r="T207" s="95">
        <f>R177+R203+R225</f>
        <v>579192733</v>
      </c>
      <c r="U207" s="95">
        <f>R161</f>
        <v>593781736.70000005</v>
      </c>
      <c r="V207" s="95">
        <f>U207-T207</f>
        <v>14589003.700000048</v>
      </c>
      <c r="AJ207" t="s">
        <v>4059</v>
      </c>
      <c r="AM207" t="s">
        <v>284</v>
      </c>
      <c r="AN207" t="s">
        <v>943</v>
      </c>
    </row>
    <row r="208" spans="17:44">
      <c r="Q208" s="99" t="s">
        <v>4447</v>
      </c>
      <c r="R208" s="95">
        <v>63115000</v>
      </c>
    </row>
    <row r="209" spans="17:44">
      <c r="Q209" s="99" t="s">
        <v>4502</v>
      </c>
      <c r="R209" s="95">
        <v>13300000</v>
      </c>
      <c r="AI209" t="s">
        <v>4061</v>
      </c>
      <c r="AJ209" s="114">
        <f>AJ206+AN206</f>
        <v>92059758.147096768</v>
      </c>
      <c r="AR209" t="s">
        <v>25</v>
      </c>
    </row>
    <row r="210" spans="17:44">
      <c r="Q210" s="99" t="s">
        <v>4512</v>
      </c>
      <c r="R210" s="95">
        <v>2269000</v>
      </c>
      <c r="AI210" t="s">
        <v>4064</v>
      </c>
      <c r="AJ210" s="114">
        <f>SUM(N20:N31)</f>
        <v>92607179.599999994</v>
      </c>
      <c r="AQ210" t="s">
        <v>25</v>
      </c>
    </row>
    <row r="211" spans="17:44">
      <c r="Q211" s="99" t="s">
        <v>4638</v>
      </c>
      <c r="R211" s="95">
        <v>25071612</v>
      </c>
      <c r="AI211" t="s">
        <v>4136</v>
      </c>
      <c r="AJ211" s="114">
        <f>AJ210-AJ206</f>
        <v>3179650.599999994</v>
      </c>
    </row>
    <row r="212" spans="17:44">
      <c r="Q212" s="99" t="s">
        <v>4651</v>
      </c>
      <c r="R212" s="95">
        <v>42236984</v>
      </c>
      <c r="AI212" t="s">
        <v>943</v>
      </c>
      <c r="AJ212" s="114">
        <f>AN206</f>
        <v>2632229.1470967741</v>
      </c>
    </row>
    <row r="213" spans="17:44">
      <c r="Q213" s="99" t="s">
        <v>4654</v>
      </c>
      <c r="R213" s="95">
        <v>19663646</v>
      </c>
      <c r="T213" t="s">
        <v>25</v>
      </c>
      <c r="AI213" t="s">
        <v>4065</v>
      </c>
      <c r="AJ213" s="114">
        <f>AJ211-AJ212</f>
        <v>547421.45290321996</v>
      </c>
      <c r="AN213" t="s">
        <v>25</v>
      </c>
    </row>
    <row r="214" spans="17:44">
      <c r="Q214" s="99" t="s">
        <v>4682</v>
      </c>
      <c r="R214" s="95">
        <v>4374525</v>
      </c>
      <c r="AN214" t="s">
        <v>25</v>
      </c>
    </row>
    <row r="215" spans="17:44">
      <c r="Q215" s="99" t="s">
        <v>4698</v>
      </c>
      <c r="R215" s="95">
        <v>6550580</v>
      </c>
      <c r="T215" t="s">
        <v>25</v>
      </c>
    </row>
    <row r="216" spans="17:44">
      <c r="Q216" s="99" t="s">
        <v>4702</v>
      </c>
      <c r="R216" s="95">
        <v>7054895</v>
      </c>
    </row>
    <row r="217" spans="17:44">
      <c r="Q217" s="99" t="s">
        <v>4746</v>
      </c>
      <c r="R217" s="95">
        <v>2145814</v>
      </c>
    </row>
    <row r="218" spans="17:44">
      <c r="Q218" s="99" t="s">
        <v>4763</v>
      </c>
      <c r="R218" s="95">
        <v>4369730</v>
      </c>
    </row>
    <row r="219" spans="17:44">
      <c r="Q219" s="99" t="s">
        <v>4768</v>
      </c>
      <c r="R219" s="95">
        <v>8739459</v>
      </c>
      <c r="T219" t="s">
        <v>25</v>
      </c>
    </row>
    <row r="220" spans="17:44">
      <c r="Q220" s="99" t="s">
        <v>4782</v>
      </c>
      <c r="R220" s="95">
        <v>6667654</v>
      </c>
    </row>
    <row r="221" spans="17:44">
      <c r="Q221" s="99" t="s">
        <v>3684</v>
      </c>
      <c r="R221" s="95">
        <v>8981245</v>
      </c>
    </row>
    <row r="222" spans="17:44">
      <c r="Q222" s="99" t="s">
        <v>4796</v>
      </c>
      <c r="R222" s="95">
        <v>9181756</v>
      </c>
    </row>
    <row r="223" spans="17:44">
      <c r="Q223" s="99" t="s">
        <v>4807</v>
      </c>
      <c r="R223" s="95">
        <v>11811208</v>
      </c>
      <c r="T223" t="s">
        <v>25</v>
      </c>
    </row>
    <row r="224" spans="17:44">
      <c r="Q224" s="99"/>
      <c r="R224" s="95"/>
    </row>
    <row r="225" spans="17:20">
      <c r="Q225" s="99"/>
      <c r="R225" s="95">
        <f>SUM(R208:R224)</f>
        <v>235533108</v>
      </c>
    </row>
    <row r="226" spans="17:20">
      <c r="Q226" s="99"/>
      <c r="R226" s="99" t="s">
        <v>6</v>
      </c>
    </row>
    <row r="227" spans="17:20">
      <c r="T227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38 S82 S88 S91:S93 S96 S102:S103 S98 S114 S116 S3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A46" workbookViewId="0">
      <selection activeCell="L61" sqref="L61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6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32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6">
        <v>4</v>
      </c>
      <c r="K5" s="226" t="s">
        <v>4633</v>
      </c>
      <c r="L5" s="227">
        <v>0</v>
      </c>
      <c r="M5" s="226">
        <v>3</v>
      </c>
      <c r="N5" s="227">
        <f t="shared" ref="N5" si="3">L5*M5</f>
        <v>0</v>
      </c>
      <c r="O5" s="228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-159873</v>
      </c>
      <c r="C12" s="169"/>
      <c r="D12" s="59" t="s">
        <v>4779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9" t="s">
        <v>4412</v>
      </c>
      <c r="AB12" s="113">
        <v>498.9</v>
      </c>
      <c r="AC12" s="168">
        <v>79903</v>
      </c>
      <c r="AD12" s="229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-159873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3" t="s">
        <v>4397</v>
      </c>
      <c r="AB15" s="117">
        <v>5179.5</v>
      </c>
      <c r="AC15" s="19">
        <v>1718</v>
      </c>
      <c r="AD15" s="223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9" t="s">
        <v>4412</v>
      </c>
      <c r="AB17" s="117">
        <v>508.1</v>
      </c>
      <c r="AC17" s="19">
        <v>1096</v>
      </c>
      <c r="AD17" s="229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9" t="s">
        <v>4412</v>
      </c>
      <c r="AB19" s="117">
        <v>503.3</v>
      </c>
      <c r="AC19" s="19">
        <v>1232</v>
      </c>
      <c r="AD19" s="229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2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9" t="s">
        <v>4412</v>
      </c>
      <c r="AB20" s="117">
        <v>501.2</v>
      </c>
      <c r="AC20" s="19">
        <f>Y20*Z20/AB20</f>
        <v>2038.1085395051875</v>
      </c>
      <c r="AD20" s="229">
        <f t="shared" ref="AD20:AD3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9" t="s">
        <v>4412</v>
      </c>
      <c r="AB21" s="117">
        <v>481.7</v>
      </c>
      <c r="AC21" s="19">
        <f>Y21*Z21/AB21</f>
        <v>2031.1397135146358</v>
      </c>
      <c r="AD21" s="229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32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6">
        <v>23</v>
      </c>
      <c r="K24" s="226" t="s">
        <v>4765</v>
      </c>
      <c r="L24" s="227">
        <v>4388600</v>
      </c>
      <c r="M24" s="226">
        <v>5</v>
      </c>
      <c r="N24" s="227">
        <f t="shared" si="7"/>
        <v>21943000</v>
      </c>
      <c r="O24" s="228" t="s">
        <v>4783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4782</v>
      </c>
      <c r="X26" s="219" t="s">
        <v>1086</v>
      </c>
      <c r="Y26" s="113">
        <v>4445103</v>
      </c>
      <c r="Z26" s="219">
        <f>AB26*AC26/Y26</f>
        <v>1.8767484128039327</v>
      </c>
      <c r="AA26" s="229" t="s">
        <v>4412</v>
      </c>
      <c r="AB26" s="117">
        <v>489</v>
      </c>
      <c r="AC26" s="19">
        <v>17060</v>
      </c>
      <c r="AD26" s="229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4782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9" t="s">
        <v>4412</v>
      </c>
      <c r="AB27" s="219">
        <v>486.4</v>
      </c>
      <c r="AC27" s="219">
        <v>36741</v>
      </c>
      <c r="AD27" s="229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4782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4796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4796</v>
      </c>
      <c r="X29" s="219" t="s">
        <v>1086</v>
      </c>
      <c r="Y29" s="113">
        <v>4590878</v>
      </c>
      <c r="Z29" s="219">
        <f t="shared" si="9"/>
        <v>2.3602445980921298</v>
      </c>
      <c r="AA29" s="194" t="s">
        <v>4393</v>
      </c>
      <c r="AB29" s="219">
        <v>3095</v>
      </c>
      <c r="AC29" s="219">
        <v>3501</v>
      </c>
      <c r="AD29" s="194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W30" s="219" t="s">
        <v>4796</v>
      </c>
      <c r="X30" s="219" t="s">
        <v>1086</v>
      </c>
      <c r="Y30" s="113">
        <v>4590878</v>
      </c>
      <c r="Z30" s="219">
        <f t="shared" si="9"/>
        <v>0.33907971416360883</v>
      </c>
      <c r="AA30" s="19" t="s">
        <v>4243</v>
      </c>
      <c r="AB30" s="117">
        <v>168.8</v>
      </c>
      <c r="AC30" s="19">
        <v>9222</v>
      </c>
      <c r="AD30" s="19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4796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4796</v>
      </c>
      <c r="X31" s="219" t="s">
        <v>1086</v>
      </c>
      <c r="Y31" s="113">
        <v>4590878</v>
      </c>
      <c r="Z31" s="219">
        <f t="shared" si="9"/>
        <v>1.0887767002303264</v>
      </c>
      <c r="AA31" s="5" t="s">
        <v>4546</v>
      </c>
      <c r="AB31" s="117">
        <v>3859.8</v>
      </c>
      <c r="AC31" s="19">
        <v>1295</v>
      </c>
      <c r="AD31" s="5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4796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4807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219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4810</v>
      </c>
    </row>
    <row r="33" spans="1:32">
      <c r="A33" s="99"/>
      <c r="B33" s="205"/>
      <c r="C33" s="169"/>
      <c r="D33" s="99"/>
      <c r="J33" s="219"/>
      <c r="K33" s="219"/>
      <c r="L33" s="113"/>
      <c r="M33" s="219"/>
      <c r="N33" s="113"/>
      <c r="O33" s="99"/>
      <c r="W33" s="219"/>
      <c r="X33" s="219"/>
      <c r="Y33" s="113"/>
      <c r="Z33" s="219"/>
      <c r="AA33" s="219"/>
      <c r="AB33" s="219"/>
      <c r="AC33" s="219"/>
      <c r="AD33" s="219"/>
      <c r="AE33" s="219"/>
      <c r="AF33" s="99"/>
    </row>
    <row r="34" spans="1:32">
      <c r="A34" s="99"/>
      <c r="B34" s="205"/>
      <c r="C34" s="169"/>
      <c r="D34" s="99"/>
      <c r="I34" t="s">
        <v>25</v>
      </c>
      <c r="J34" s="168"/>
      <c r="K34" s="168"/>
      <c r="L34" s="113" t="s">
        <v>25</v>
      </c>
      <c r="M34" s="168"/>
      <c r="N34" s="113"/>
      <c r="O34" s="99"/>
      <c r="W34" s="168"/>
      <c r="X34" s="168"/>
      <c r="Y34" s="113"/>
      <c r="Z34" s="168"/>
      <c r="AA34" s="168"/>
      <c r="AB34" s="113"/>
      <c r="AC34" s="168"/>
      <c r="AD34" s="19"/>
      <c r="AE34" s="168"/>
      <c r="AF34" s="99"/>
    </row>
    <row r="35" spans="1:32">
      <c r="A35" s="99"/>
      <c r="B35" s="169"/>
      <c r="C35" s="169"/>
      <c r="D35" s="99"/>
      <c r="J35" s="168"/>
      <c r="K35" s="168"/>
      <c r="L35" s="168"/>
      <c r="M35" s="168">
        <f>SUM(M2:M34)</f>
        <v>95</v>
      </c>
      <c r="N35" s="113">
        <f>SUM(N2:N34)</f>
        <v>395688704</v>
      </c>
      <c r="O35" s="169">
        <f>N35/(M35-3)</f>
        <v>4300964.1739130439</v>
      </c>
      <c r="Z35" t="s">
        <v>25</v>
      </c>
      <c r="AC35" t="s">
        <v>25</v>
      </c>
    </row>
    <row r="36" spans="1:32">
      <c r="B36" s="58"/>
      <c r="C36" s="58"/>
      <c r="D36" s="115"/>
      <c r="J36" s="168"/>
      <c r="K36" s="168"/>
      <c r="L36" s="168"/>
      <c r="M36" s="168" t="s">
        <v>6</v>
      </c>
      <c r="N36" s="168"/>
      <c r="O36" s="99"/>
      <c r="Z36" t="s">
        <v>25</v>
      </c>
      <c r="AA36" t="s">
        <v>25</v>
      </c>
    </row>
    <row r="37" spans="1:32">
      <c r="B37" t="s">
        <v>25</v>
      </c>
      <c r="M37" s="113">
        <f>N35/(M35-3)</f>
        <v>4300964.1739130439</v>
      </c>
      <c r="W37" s="96"/>
      <c r="X37" s="96"/>
      <c r="Y37" s="96"/>
      <c r="Z37" s="96"/>
      <c r="AA37" s="96"/>
      <c r="AB37" s="96"/>
      <c r="AC37" s="96"/>
      <c r="AD37" s="96"/>
    </row>
    <row r="38" spans="1:32">
      <c r="B38" s="114">
        <f>SUM(C18:C35)-SUM(B18:B35)</f>
        <v>3109999</v>
      </c>
      <c r="C38" t="s">
        <v>916</v>
      </c>
      <c r="M38" s="41" t="s">
        <v>4532</v>
      </c>
      <c r="N38" t="s">
        <v>25</v>
      </c>
      <c r="O38">
        <v>23622417</v>
      </c>
      <c r="P38">
        <f>O38/2</f>
        <v>11811208.5</v>
      </c>
      <c r="Q38">
        <f>O38/5</f>
        <v>4724483.4000000004</v>
      </c>
      <c r="W38" s="96"/>
      <c r="X38" s="96"/>
      <c r="Y38" s="96"/>
      <c r="Z38" s="96"/>
      <c r="AA38" s="96"/>
      <c r="AB38" s="96"/>
      <c r="AC38" s="96"/>
      <c r="AD38" s="96"/>
    </row>
    <row r="39" spans="1:32">
      <c r="W39" s="96"/>
      <c r="X39" s="96"/>
      <c r="Y39" s="96"/>
      <c r="Z39" s="96"/>
      <c r="AA39" s="96"/>
      <c r="AB39" s="96"/>
      <c r="AC39" s="96"/>
      <c r="AD39" s="96"/>
    </row>
    <row r="40" spans="1:32">
      <c r="W40" s="96"/>
      <c r="X40" s="96"/>
      <c r="Y40" s="96"/>
      <c r="Z40" s="96"/>
      <c r="AA40" s="96"/>
      <c r="AB40" s="96"/>
      <c r="AC40" s="96"/>
      <c r="AD40" s="96"/>
    </row>
    <row r="41" spans="1:32">
      <c r="L41">
        <f>140-M35</f>
        <v>45</v>
      </c>
      <c r="M41">
        <f>70-M2-M4-M5-M7-M9-M10-M12-M14-M16-M18-M20-M22-M25-M27-M29-M31</f>
        <v>20</v>
      </c>
      <c r="N41" t="s">
        <v>483</v>
      </c>
      <c r="O41" t="s">
        <v>4814</v>
      </c>
      <c r="W41" s="96"/>
      <c r="X41" s="96"/>
      <c r="Y41" s="96"/>
      <c r="Z41" s="96"/>
      <c r="AA41" s="96"/>
      <c r="AB41" s="96"/>
      <c r="AC41" s="96"/>
      <c r="AD41" s="96"/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M42">
        <f>65-M3-M6-M8-M11-M13-M15-M17-M19-M21-M23-M26-M28-M30-M32</f>
        <v>25</v>
      </c>
      <c r="N42" t="s">
        <v>5</v>
      </c>
      <c r="AA42" s="96"/>
      <c r="AB42" s="96"/>
      <c r="AC42" s="96"/>
      <c r="AD42" s="96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AA43" s="96"/>
      <c r="AB43" s="96"/>
      <c r="AC43" s="96"/>
      <c r="AD43" s="96"/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AA44" s="96"/>
      <c r="AB44" s="96"/>
      <c r="AC44" s="96"/>
      <c r="AD44" s="96"/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AA45" s="96"/>
      <c r="AB45" s="96"/>
      <c r="AC45" s="96" t="s">
        <v>25</v>
      </c>
      <c r="AD45" s="96"/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K46" s="168" t="s">
        <v>4542</v>
      </c>
      <c r="L46" s="168" t="s">
        <v>1086</v>
      </c>
      <c r="M46" s="168" t="s">
        <v>4243</v>
      </c>
      <c r="N46" s="168" t="s">
        <v>4559</v>
      </c>
      <c r="O46" s="168"/>
      <c r="AA46" s="96"/>
      <c r="AB46" s="96"/>
      <c r="AC46" s="96"/>
      <c r="AD46" s="96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K47" s="168" t="s">
        <v>4531</v>
      </c>
      <c r="L47" s="168">
        <v>3390000</v>
      </c>
      <c r="M47" s="168">
        <v>161.4</v>
      </c>
      <c r="N47" s="168">
        <f>L47/M47</f>
        <v>21003.717472118959</v>
      </c>
      <c r="O47" s="168"/>
      <c r="W47" s="96"/>
      <c r="X47" s="96"/>
      <c r="Y47" s="96"/>
      <c r="Z47" s="96"/>
      <c r="AA47" s="96"/>
      <c r="AB47" s="96"/>
      <c r="AC47" s="96"/>
      <c r="AD47" s="96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K48" s="168"/>
      <c r="L48" s="168"/>
      <c r="M48" s="168"/>
      <c r="N48" s="168"/>
      <c r="O48" s="168"/>
      <c r="W48" s="96"/>
      <c r="X48" s="96"/>
      <c r="Y48" s="96"/>
      <c r="Z48" s="96" t="s">
        <v>4675</v>
      </c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  <c r="W49" s="96"/>
      <c r="X49" s="96"/>
      <c r="Y49" s="96"/>
      <c r="Z49" s="96" t="s">
        <v>4676</v>
      </c>
      <c r="AA49" s="212">
        <v>35441</v>
      </c>
      <c r="AB49" s="96"/>
      <c r="AC49" s="96"/>
      <c r="AD49" s="96"/>
    </row>
    <row r="50" spans="1:30" ht="12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  <c r="W50" s="96"/>
      <c r="X50" s="22" t="s">
        <v>4679</v>
      </c>
      <c r="Y50" s="22" t="s">
        <v>4678</v>
      </c>
      <c r="Z50" s="22" t="s">
        <v>4677</v>
      </c>
      <c r="AA50" s="22" t="s">
        <v>4681</v>
      </c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K51" s="168"/>
      <c r="L51" s="168"/>
      <c r="M51" s="168"/>
      <c r="N51" s="168"/>
      <c r="O51" s="168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/>
      <c r="L52" s="168"/>
      <c r="M52" s="168"/>
      <c r="N52" s="168"/>
      <c r="O52" s="168"/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/>
      <c r="L53" s="168"/>
      <c r="M53" s="168"/>
      <c r="N53" s="168"/>
      <c r="O53" s="168"/>
    </row>
    <row r="54" spans="1:30">
      <c r="A54" s="99" t="s">
        <v>4782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</row>
    <row r="56" spans="1:30">
      <c r="A56" s="99" t="s">
        <v>4796</v>
      </c>
      <c r="B56" s="95">
        <v>4370000</v>
      </c>
      <c r="C56" s="95">
        <v>4480000</v>
      </c>
      <c r="D56" s="95">
        <v>12600</v>
      </c>
      <c r="E56" s="95">
        <v>12700</v>
      </c>
    </row>
    <row r="57" spans="1:30">
      <c r="A57" s="99" t="s">
        <v>4807</v>
      </c>
      <c r="B57" s="95">
        <v>4470000</v>
      </c>
      <c r="C57" s="95">
        <v>4580000</v>
      </c>
      <c r="D57" s="95">
        <v>13050</v>
      </c>
      <c r="E57" s="95">
        <v>13200</v>
      </c>
      <c r="K57" s="99" t="s">
        <v>180</v>
      </c>
      <c r="L57" s="99" t="s">
        <v>4819</v>
      </c>
    </row>
    <row r="58" spans="1:30">
      <c r="A58" s="99" t="s">
        <v>4820</v>
      </c>
      <c r="B58" s="95">
        <v>4600000</v>
      </c>
      <c r="C58" s="95">
        <v>4720000</v>
      </c>
      <c r="D58" s="95"/>
      <c r="E58" s="95"/>
      <c r="G58" s="114">
        <f>B58-B47+L19</f>
        <v>4911628</v>
      </c>
      <c r="K58" s="99"/>
      <c r="L58" s="99"/>
    </row>
    <row r="59" spans="1:30">
      <c r="A59" s="99"/>
      <c r="B59" s="95"/>
      <c r="C59" s="95"/>
      <c r="D59" s="95"/>
      <c r="E59" s="95"/>
      <c r="K59" s="99" t="s">
        <v>4807</v>
      </c>
      <c r="L59" s="95">
        <v>548929344</v>
      </c>
    </row>
    <row r="60" spans="1:30">
      <c r="A60" s="99"/>
      <c r="B60" s="95"/>
      <c r="C60" s="95"/>
      <c r="D60" s="95"/>
      <c r="E60" s="95"/>
      <c r="K60" s="99" t="s">
        <v>4820</v>
      </c>
      <c r="L60" s="95">
        <v>560461325</v>
      </c>
    </row>
    <row r="61" spans="1:30">
      <c r="A61" s="99"/>
      <c r="B61" s="95"/>
      <c r="C61" s="95"/>
      <c r="D61" s="95"/>
      <c r="E61" s="95"/>
      <c r="K61" s="99"/>
      <c r="L61" s="95"/>
    </row>
    <row r="62" spans="1:30">
      <c r="K62" s="99"/>
      <c r="L62" s="95"/>
    </row>
    <row r="63" spans="1:30">
      <c r="K63" s="99"/>
      <c r="L63" s="95"/>
    </row>
    <row r="64" spans="1:30">
      <c r="K64" s="99"/>
      <c r="L64" s="95"/>
    </row>
    <row r="65" spans="5:13">
      <c r="K65" s="99"/>
      <c r="L65" s="95"/>
    </row>
    <row r="66" spans="5:13">
      <c r="K66" s="99"/>
      <c r="L66" s="95"/>
    </row>
    <row r="67" spans="5:13">
      <c r="E67" t="s">
        <v>25</v>
      </c>
      <c r="J67" s="41"/>
      <c r="K67" s="219"/>
      <c r="L67" s="219"/>
      <c r="M67" s="41"/>
    </row>
    <row r="68" spans="5:13">
      <c r="K68" s="99"/>
      <c r="L68" s="99"/>
    </row>
    <row r="69" spans="5:13">
      <c r="K69" s="99"/>
      <c r="L69" s="99"/>
    </row>
    <row r="70" spans="5:13">
      <c r="K70" s="99"/>
      <c r="L70" s="9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2019-02-22T22:23:57Z</dcterms:modified>
</cp:coreProperties>
</file>