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Q71" i="18" l="1"/>
  <c r="N24" i="18" l="1"/>
  <c r="N25" i="18"/>
  <c r="P24" i="18"/>
  <c r="V33" i="18"/>
  <c r="S33" i="18"/>
  <c r="V32" i="18"/>
  <c r="S32" i="18"/>
  <c r="C2" i="51" l="1"/>
  <c r="H2" i="51" s="1"/>
  <c r="B2" i="51"/>
  <c r="G33" i="48"/>
  <c r="D52" i="51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P27" i="18"/>
  <c r="AC34" i="18"/>
  <c r="AD34" i="18" s="1"/>
  <c r="S20" i="18"/>
  <c r="S21" i="18" s="1"/>
  <c r="AC33" i="18" l="1"/>
  <c r="AD33" i="18" s="1"/>
  <c r="P25" i="18"/>
  <c r="N27" i="18" l="1"/>
  <c r="N48" i="18"/>
  <c r="AI89" i="18" l="1"/>
  <c r="AC32" i="18"/>
  <c r="AD32" i="18" s="1"/>
  <c r="N46" i="18"/>
  <c r="D108" i="50" l="1"/>
  <c r="AC31" i="18" l="1"/>
  <c r="AD31" i="18" s="1"/>
  <c r="AC30" i="18"/>
  <c r="AD30" i="18" s="1"/>
  <c r="AC29" i="18"/>
  <c r="AD29" i="18" s="1"/>
  <c r="AC27" i="18" l="1"/>
  <c r="AD27" i="18" s="1"/>
  <c r="AC26" i="18"/>
  <c r="P22" i="18"/>
  <c r="N45" i="18"/>
  <c r="AD26" i="18" l="1"/>
  <c r="AC28" i="18"/>
  <c r="AD28" i="18" s="1"/>
  <c r="C8" i="36"/>
  <c r="N40" i="18" l="1"/>
  <c r="AI131" i="18" l="1"/>
  <c r="P23" i="18" l="1"/>
  <c r="N23" i="18" s="1"/>
  <c r="N43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5" i="18" l="1"/>
  <c r="AD25" i="18" s="1"/>
  <c r="AD41" i="18" s="1"/>
  <c r="AK129" i="18"/>
  <c r="AL129" i="18" l="1"/>
  <c r="AK128" i="18"/>
  <c r="S22" i="18"/>
  <c r="S23" i="18" s="1"/>
  <c r="P20" i="18"/>
  <c r="N20" i="18" s="1"/>
  <c r="N44" i="18"/>
  <c r="S24" i="18" l="1"/>
  <c r="S25" i="18" s="1"/>
  <c r="AK127" i="18"/>
  <c r="AL128" i="18"/>
  <c r="S26" i="18" l="1"/>
  <c r="S27" i="18" s="1"/>
  <c r="S28" i="18" s="1"/>
  <c r="S29" i="18" s="1"/>
  <c r="S30" i="18" s="1"/>
  <c r="S31" i="18" s="1"/>
  <c r="AK126" i="18"/>
  <c r="AL127" i="18"/>
  <c r="AK125" i="18" l="1"/>
  <c r="AL126" i="18"/>
  <c r="R71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AD39" i="18" s="1"/>
  <c r="D73" i="48"/>
  <c r="N22" i="18"/>
  <c r="AK122" i="18" l="1"/>
  <c r="AL123" i="18"/>
  <c r="N34" i="18"/>
  <c r="AK121" i="18" l="1"/>
  <c r="AL122" i="18"/>
  <c r="P53" i="18"/>
  <c r="AK120" i="18" l="1"/>
  <c r="AL121" i="18"/>
  <c r="AK119" i="18" l="1"/>
  <c r="AL120" i="18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K117" i="18" l="1"/>
  <c r="AL118" i="18"/>
  <c r="P19" i="18"/>
  <c r="N19" i="18" s="1"/>
  <c r="Q35" i="18" s="1"/>
  <c r="B263" i="15"/>
  <c r="AI135" i="18" l="1"/>
  <c r="AI136" i="18" s="1"/>
  <c r="AL117" i="18"/>
  <c r="AK116" i="18"/>
  <c r="S45" i="18"/>
  <c r="S46" i="18" s="1"/>
  <c r="AK115" i="18" l="1"/>
  <c r="AL116" i="18"/>
  <c r="S47" i="18"/>
  <c r="AL115" i="18" l="1"/>
  <c r="AK114" i="18"/>
  <c r="P42" i="18"/>
  <c r="AL114" i="18" l="1"/>
  <c r="AK113" i="18"/>
  <c r="AK112" i="18" l="1"/>
  <c r="AL113" i="18"/>
  <c r="C267" i="20"/>
  <c r="AK111" i="18" l="1"/>
  <c r="AL112" i="18"/>
  <c r="B8" i="36"/>
  <c r="AK110" i="18" l="1"/>
  <c r="AL111" i="18"/>
  <c r="B10" i="36"/>
  <c r="AK109" i="18" l="1"/>
  <c r="AL110" i="18"/>
  <c r="S48" i="18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l="1"/>
  <c r="S60" i="18" s="1"/>
  <c r="S61" i="18" s="1"/>
  <c r="S62" i="18" s="1"/>
  <c r="S63" i="18" s="1"/>
  <c r="AK108" i="18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2" i="18"/>
  <c r="K243" i="20" l="1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K242" i="20" s="1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41" i="20" l="1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2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0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3" i="18"/>
  <c r="AK76" i="18" l="1"/>
  <c r="AL77" i="18"/>
  <c r="AK75" i="18" l="1"/>
  <c r="AL76" i="18"/>
  <c r="N41" i="18"/>
  <c r="Q66" i="18" s="1"/>
  <c r="AI95" i="18" l="1"/>
  <c r="AI96" i="18" s="1"/>
  <c r="AK74" i="18"/>
  <c r="AL75" i="18"/>
  <c r="AK73" i="18" l="1"/>
  <c r="AL74" i="18"/>
  <c r="R77" i="18"/>
  <c r="V63" i="18" l="1"/>
  <c r="V31" i="18"/>
  <c r="V62" i="18"/>
  <c r="V30" i="18"/>
  <c r="V28" i="18"/>
  <c r="V29" i="18"/>
  <c r="V60" i="18"/>
  <c r="V61" i="18"/>
  <c r="V26" i="18"/>
  <c r="V27" i="18"/>
  <c r="V59" i="18"/>
  <c r="V58" i="18"/>
  <c r="V57" i="18"/>
  <c r="V56" i="18"/>
  <c r="V55" i="18"/>
  <c r="V25" i="18"/>
  <c r="V54" i="18"/>
  <c r="V52" i="18"/>
  <c r="V53" i="18"/>
  <c r="V50" i="18"/>
  <c r="V51" i="18"/>
  <c r="V49" i="18"/>
  <c r="V21" i="18"/>
  <c r="V23" i="18"/>
  <c r="V44" i="18"/>
  <c r="V24" i="18"/>
  <c r="V20" i="18"/>
  <c r="V22" i="18"/>
  <c r="V45" i="18"/>
  <c r="V46" i="18"/>
  <c r="V47" i="18"/>
  <c r="V48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K51" i="18"/>
  <c r="AL52" i="18"/>
  <c r="D27" i="48"/>
  <c r="E253" i="15"/>
  <c r="E252" i="15"/>
  <c r="G33" i="50" l="1"/>
  <c r="H33" i="50" s="1"/>
  <c r="I33" i="48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AI94" i="18" s="1"/>
  <c r="E173" i="13"/>
  <c r="G174" i="13"/>
  <c r="D238" i="15"/>
  <c r="F239" i="15"/>
  <c r="X720" i="41"/>
  <c r="U2123" i="41"/>
  <c r="AI98" i="18" l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7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7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6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7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7" i="18" l="1"/>
  <c r="L56" i="18"/>
  <c r="F22" i="18" s="1"/>
  <c r="E33" i="13"/>
  <c r="G34" i="13"/>
  <c r="I97" i="20"/>
  <c r="K97" i="20"/>
  <c r="J97" i="20"/>
  <c r="F108" i="15"/>
  <c r="C20" i="18"/>
  <c r="G20" i="14"/>
  <c r="G21" i="14"/>
  <c r="L58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<sst xmlns="http://schemas.openxmlformats.org/spreadsheetml/2006/main" count="9624" uniqueCount="4527">
  <si>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</si>
  <si>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</si>
  <si>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</si>
  <si>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</si>
  <si>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</si>
  <si>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</si>
  <si>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</si>
  <si>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</si>
  <si>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</si>
  <si>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</si>
  <si>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</si>
  <si>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</si>
  <si>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</si>
  <si>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</si>
  <si>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</si>
  <si>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</si>
  <si>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</si>
  <si>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</si>
  <si>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</si>
  <si>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</si>
  <si>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</si>
  <si>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</si>
  <si>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</si>
  <si>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</si>
  <si>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</si>
  <si>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</si>
  <si>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</si>
  <si>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</si>
  <si>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</si>
  <si>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</si>
  <si>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</si>
  <si>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</si>
  <si>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</si>
  <si>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</si>
  <si>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</si>
  <si>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</si>
  <si>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</si>
  <si>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</si>
  <si>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</si>
  <si>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</si>
  <si>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</si>
  <si>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</si>
  <si>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</si>
  <si>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</si>
  <si>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</si>
  <si>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</si>
  <si>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</si>
  <si>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</si>
  <si>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</si>
  <si>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</si>
  <si>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</si>
  <si>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</si>
  <si>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</si>
  <si>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</si>
  <si>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</si>
  <si>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</si>
  <si>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</si>
  <si>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</si>
  <si>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</si>
  <si>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</si>
  <si>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</si>
  <si>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</si>
  <si>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</si>
  <si>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</si>
  <si>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</si>
  <si>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</si>
  <si>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</si>
  <si>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</si>
  <si>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</si>
  <si>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</si>
  <si>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</si>
  <si>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</si>
  <si>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</si>
  <si>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</si>
  <si>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</si>
  <si>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</si>
  <si>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</si>
  <si>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</si>
  <si>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</si>
  <si>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</si>
  <si>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</si>
  <si>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</si>
  <si>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</si>
  <si>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</si>
  <si>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</si>
  <si>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</si>
  <si>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</si>
  <si>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</si>
  <si>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</si>
  <si>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</si>
  <si>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</si>
  <si>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</si>
  <si>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</si>
  <si>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</si>
  <si>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</si>
  <si>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</si>
  <si>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</si>
  <si>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</si>
  <si>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</si>
  <si>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</si>
  <si>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</si>
  <si>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</si>
  <si>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</si>
  <si>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</si>
  <si>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</si>
  <si>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</si>
  <si>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</si>
  <si>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</si>
  <si>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</si>
  <si>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</si>
  <si>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</si>
  <si>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</si>
  <si>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</si>
  <si>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</si>
  <si>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</si>
  <si>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</si>
  <si>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</si>
  <si>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</si>
  <si>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</si>
  <si>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</si>
  <si>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</si>
  <si>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</si>
  <si>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</si>
  <si>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</si>
  <si>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</si>
  <si>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</si>
  <si>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</si>
  <si>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</si>
  <si>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</si>
  <si>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</si>
  <si>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</si>
  <si>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</si>
  <si>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</si>
  <si>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</si>
  <si>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</si>
  <si>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</si>
  <si>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</si>
  <si>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</si>
  <si>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</si>
  <si>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</si>
  <si>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</si>
  <si>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</si>
  <si>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</si>
  <si>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</si>
  <si>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</si>
  <si>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</si>
  <si>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</si>
  <si>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</si>
  <si>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</si>
  <si>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</si>
  <si>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</si>
  <si>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</si>
  <si>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</si>
  <si>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</si>
  <si>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</si>
  <si>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</si>
  <si>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</si>
  <si>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</si>
  <si>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</si>
  <si>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</si>
  <si>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</si>
  <si>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</si>
  <si>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</si>
  <si>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</si>
  <si>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</si>
  <si>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</si>
  <si>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</si>
  <si>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</si>
  <si>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</si>
  <si>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</si>
  <si>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</si>
  <si>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</si>
  <si>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</si>
  <si>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</si>
  <si>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</si>
  <si>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</si>
  <si>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</si>
  <si>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</si>
  <si>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</si>
  <si>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</si>
  <si>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</si>
  <si>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</si>
  <si>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</si>
  <si>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</si>
  <si>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</si>
  <si>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</si>
  <si>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</si>
  <si>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</si>
  <si>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</si>
  <si>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</si>
  <si>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</si>
  <si>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</si>
  <si>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</si>
  <si>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</si>
  <si>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</si>
  <si>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</si>
  <si>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</si>
  <si>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</si>
  <si>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</si>
  <si>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</si>
  <si>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</si>
  <si>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</si>
  <si>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</si>
  <si>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</si>
  <si>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</si>
  <si>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</si>
  <si>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</si>
  <si>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</si>
  <si>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</si>
  <si>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</si>
  <si>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</si>
  <si>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</si>
  <si>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</si>
  <si>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</si>
  <si>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</si>
  <si>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</si>
  <si>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</si>
  <si>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</si>
  <si>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</si>
  <si>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</si>
  <si>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</si>
  <si>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</si>
  <si>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</si>
  <si>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</si>
  <si>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</si>
  <si>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</si>
  <si>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</si>
  <si>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</si>
  <si>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</si>
  <si>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</si>
  <si>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</si>
  <si>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</si>
  <si>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</si>
  <si>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</si>
  <si>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</si>
  <si>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</si>
  <si>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</si>
  <si>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</si>
  <si>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</si>
  <si>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</si>
  <si>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</si>
  <si>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</si>
  <si>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</si>
  <si>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</si>
  <si>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</si>
  <si>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</si>
  <si>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</si>
  <si>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</si>
  <si>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</si>
  <si>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</si>
  <si>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</si>
  <si>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</si>
  <si>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</si>
  <si>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</si>
  <si>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</si>
  <si>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</si>
  <si>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</si>
  <si>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</si>
  <si>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</si>
  <si>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</si>
  <si>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</si>
  <si>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</si>
  <si>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</si>
  <si>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</si>
  <si>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</si>
  <si>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</si>
  <si>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</si>
  <si>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</si>
  <si>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</si>
  <si>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</si>
  <si>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</si>
  <si>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</si>
  <si>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</si>
  <si>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</si>
  <si>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</si>
  <si>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</si>
  <si>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</si>
  <si>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</si>
  <si>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</si>
  <si>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</si>
  <si>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</si>
  <si>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</si>
  <si>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</si>
  <si>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</si>
  <si>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</si>
  <si>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</si>
  <si>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</si>
  <si>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</si>
  <si>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</si>
  <si>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</si>
  <si>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</si>
  <si>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</si>
  <si>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</si>
  <si>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</si>
  <si>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</si>
  <si>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</si>
  <si>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</si>
  <si>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</si>
  <si>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</si>
  <si>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</si>
  <si>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</si>
  <si>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</si>
  <si>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</si>
  <si>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</si>
  <si>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</si>
  <si>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</si>
  <si>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</si>
  <si>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</si>
  <si>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</si>
  <si>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</si>
  <si>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</si>
  <si>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</si>
  <si>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</si>
  <si>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</si>
  <si>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</si>
  <si>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</si>
  <si>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</si>
  <si>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</si>
  <si>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</si>
  <si>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</si>
  <si>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</si>
  <si>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</si>
  <si>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</si>
  <si>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</si>
  <si>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</si>
  <si>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</si>
  <si>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</si>
  <si>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</si>
  <si>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</si>
  <si>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</si>
  <si>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</si>
  <si>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</si>
  <si>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</si>
  <si>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</si>
  <si>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</si>
  <si>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</si>
  <si>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</si>
  <si>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</si>
  <si>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</si>
  <si>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</si>
  <si>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</si>
  <si>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</si>
  <si>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</si>
  <si>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</si>
  <si>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</si>
  <si>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</si>
  <si>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</si>
  <si>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</si>
  <si>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</si>
  <si>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</si>
  <si>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</si>
  <si>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</si>
  <si>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</si>
  <si>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</si>
  <si>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</si>
  <si>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</si>
  <si>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</si>
  <si>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</si>
  <si>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</si>
  <si>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</si>
  <si>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</si>
  <si>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</si>
  <si>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</si>
  <si>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</si>
  <si>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</si>
  <si>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</si>
  <si>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</si>
  <si>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</si>
  <si>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</si>
  <si>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</si>
  <si>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</si>
  <si>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</si>
  <si>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</si>
  <si>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</si>
  <si>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</si>
  <si>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</si>
  <si>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</si>
  <si>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</si>
  <si>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</si>
  <si>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</si>
  <si>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</si>
  <si>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</si>
  <si>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</si>
  <si>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</si>
  <si>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</si>
  <si>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</si>
  <si>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</si>
  <si>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</si>
  <si>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</si>
  <si>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</si>
  <si>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</si>
  <si>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</si>
  <si>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</si>
  <si>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</si>
  <si>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</si>
  <si>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</si>
  <si>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</si>
  <si>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</si>
  <si>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</si>
  <si>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</si>
  <si>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</si>
  <si>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</si>
  <si>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</si>
  <si>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</si>
  <si>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</si>
  <si>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</si>
  <si>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</si>
  <si>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</si>
  <si>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</si>
  <si>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</si>
  <si>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</si>
  <si>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</si>
  <si>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</si>
  <si>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</si>
  <si>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</si>
  <si>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</si>
  <si>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</si>
  <si>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</si>
  <si>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</si>
  <si>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</si>
  <si>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</si>
  <si>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</si>
  <si>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</si>
  <si>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</si>
  <si>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</si>
  <si>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</si>
  <si>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</si>
  <si>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</si>
  <si>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</si>
  <si>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</si>
  <si>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</si>
  <si>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</si>
  <si>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</si>
  <si>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</si>
  <si>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</si>
  <si>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</si>
  <si>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</si>
  <si>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</si>
  <si>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</si>
  <si>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</si>
  <si>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</si>
  <si>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</si>
  <si>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</si>
  <si>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</si>
  <si>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</si>
  <si>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</si>
  <si>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</si>
  <si>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</si>
  <si>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</si>
  <si>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</si>
  <si>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</si>
  <si>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</si>
  <si>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</si>
  <si>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</si>
  <si>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</si>
  <si>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</si>
  <si>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</si>
  <si>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</si>
  <si>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</si>
  <si>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</si>
  <si>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</si>
  <si>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</si>
  <si>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</si>
  <si>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</si>
  <si>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</si>
  <si>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</si>
  <si>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</si>
  <si>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</si>
  <si>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</si>
  <si>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</si>
  <si>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</si>
  <si>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</si>
  <si>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</si>
  <si>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</si>
  <si>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</si>
  <si>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</si>
  <si>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</si>
  <si>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</si>
  <si>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</si>
  <si>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</si>
  <si>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</si>
  <si>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</si>
  <si>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</si>
  <si>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</si>
  <si>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</si>
  <si>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</si>
  <si>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</si>
  <si>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</si>
  <si>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</si>
  <si>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</si>
  <si>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</si>
  <si>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</si>
  <si>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</si>
  <si>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</si>
  <si>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</si>
  <si>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</si>
  <si>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</si>
  <si>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</si>
  <si>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</si>
  <si>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</si>
  <si>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</si>
  <si>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</si>
  <si>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</si>
  <si>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</si>
  <si>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</si>
  <si>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</si>
  <si>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</si>
  <si>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</si>
  <si>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</si>
  <si>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</si>
  <si>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</si>
  <si>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</si>
  <si>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</si>
  <si>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</si>
  <si>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</si>
  <si>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</si>
  <si>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</si>
  <si>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</si>
  <si>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</si>
  <si>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</si>
  <si>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</si>
  <si>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</si>
  <si>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</si>
  <si>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</si>
  <si>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</si>
  <si>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</si>
  <si>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</si>
  <si>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</si>
  <si>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</si>
  <si>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</si>
  <si>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</si>
  <si>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</si>
  <si>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</si>
  <si>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</si>
  <si>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</si>
  <si>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</si>
  <si>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</si>
  <si>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</si>
  <si>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</si>
  <si>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</si>
  <si>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</si>
  <si>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</si>
  <si>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</si>
  <si>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</si>
  <si>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</si>
  <si>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</si>
  <si>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</si>
  <si>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</si>
  <si>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</si>
  <si>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</si>
  <si>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</si>
  <si>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</si>
  <si>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</si>
  <si>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</si>
  <si>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</si>
  <si>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</si>
  <si>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</si>
  <si>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</si>
  <si>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</si>
  <si>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</si>
  <si>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</si>
  <si>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</si>
  <si>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</si>
  <si>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</si>
  <si>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</si>
  <si>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</si>
  <si>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</si>
  <si>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</si>
  <si>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</si>
  <si>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</si>
  <si>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</si>
  <si>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</si>
  <si>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</si>
  <si>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</si>
  <si>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</si>
  <si>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</si>
  <si>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</si>
  <si>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</si>
  <si>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</si>
  <si>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</si>
  <si>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</si>
  <si>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</si>
  <si>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</si>
  <si>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</si>
  <si>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</si>
  <si>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</si>
  <si>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</si>
  <si>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</si>
  <si>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</si>
  <si>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</si>
  <si>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</si>
  <si>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</si>
  <si>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</si>
  <si>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</si>
  <si>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</si>
  <si>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</si>
  <si>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</si>
  <si>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</si>
  <si>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</si>
  <si>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</si>
  <si>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</si>
  <si>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</si>
  <si>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</si>
  <si>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</si>
  <si>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</si>
  <si>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</si>
  <si>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</si>
  <si>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</si>
  <si>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</si>
  <si>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</si>
  <si>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</si>
  <si>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</si>
  <si>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</si>
  <si>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</si>
  <si>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</si>
  <si>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</si>
  <si>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</si>
  <si>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</si>
  <si>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</si>
  <si>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</si>
  <si>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</si>
  <si>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</si>
  <si>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</si>
  <si>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</si>
  <si>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</si>
  <si>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</si>
  <si>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</si>
  <si>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</si>
  <si>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</si>
  <si>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</si>
  <si>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</si>
  <si>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</si>
  <si>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</si>
  <si>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</si>
  <si>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</si>
  <si>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</si>
  <si>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</si>
  <si>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</si>
  <si>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</si>
  <si>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</si>
  <si>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</si>
  <si>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</si>
  <si>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</si>
  <si>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</si>
  <si>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</si>
  <si>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</si>
  <si>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</si>
  <si>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</si>
  <si>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</si>
  <si>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</si>
  <si>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</si>
  <si>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</si>
  <si>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</si>
  <si>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</si>
  <si>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</si>
  <si>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</si>
  <si>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</si>
  <si>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</si>
  <si>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</si>
  <si>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</si>
  <si>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</si>
  <si>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</si>
  <si>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</si>
  <si>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</si>
  <si>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</si>
  <si>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</si>
  <si>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</si>
  <si>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</si>
  <si>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</si>
  <si>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</si>
  <si>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</si>
  <si>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</si>
  <si>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</si>
  <si>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</si>
  <si>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</si>
  <si>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</si>
  <si>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</si>
  <si>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</si>
  <si>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</si>
  <si>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</si>
  <si>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</si>
  <si>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</si>
  <si>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</si>
  <si>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</si>
  <si>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</si>
  <si>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</si>
  <si>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</si>
  <si>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</si>
  <si>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</si>
  <si>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</si>
  <si>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</si>
  <si>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</si>
  <si>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</si>
  <si>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</si>
  <si>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</si>
  <si>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</si>
  <si>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</si>
  <si>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</si>
  <si>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</si>
  <si>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</si>
  <si>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</si>
  <si>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</si>
  <si>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</si>
  <si>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</si>
  <si>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</si>
  <si>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</si>
  <si>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</si>
  <si>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</si>
  <si>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</si>
  <si>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</si>
  <si>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</si>
  <si>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</si>
  <si>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</si>
  <si>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</si>
  <si>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</si>
  <si>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</si>
  <si>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</si>
  <si>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</si>
  <si>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</si>
  <si>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</si>
  <si>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</si>
  <si>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</si>
  <si>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</si>
  <si>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</si>
  <si>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</si>
  <si>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</si>
  <si>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</si>
  <si>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</si>
  <si>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</si>
  <si>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</si>
  <si>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</si>
  <si>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</si>
  <si>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</si>
  <si>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</si>
  <si>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</si>
  <si>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</si>
  <si>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</si>
  <si>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</si>
  <si>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</si>
  <si>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</si>
  <si>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</si>
  <si>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</si>
  <si>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</si>
  <si>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</si>
  <si>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</si>
  <si>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</si>
  <si>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</si>
  <si>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</si>
  <si>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</si>
  <si>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</si>
  <si>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</si>
  <si>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</si>
  <si>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</si>
  <si>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</si>
  <si>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</si>
  <si>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</si>
  <si>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</si>
  <si>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</si>
  <si>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</si>
  <si>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</si>
  <si>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</si>
  <si>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</si>
  <si>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</si>
  <si>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</si>
  <si>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</si>
  <si>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</si>
  <si>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</si>
  <si>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</si>
  <si>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</si>
  <si>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</si>
  <si>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</si>
  <si>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</si>
  <si>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</si>
  <si>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</si>
  <si>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</si>
  <si>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</si>
  <si>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</si>
  <si>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</si>
  <si>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</si>
  <si>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</si>
  <si>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</si>
  <si>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</si>
  <si>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</si>
  <si>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</si>
  <si>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</si>
  <si>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</si>
  <si>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</si>
  <si>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</si>
  <si>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</si>
  <si>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</si>
  <si>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</si>
  <si>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</si>
  <si>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</si>
  <si>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</si>
  <si>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</si>
  <si>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</si>
  <si>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</si>
  <si>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</si>
  <si>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</si>
  <si>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</si>
  <si>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</si>
  <si>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</si>
  <si>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</si>
  <si>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</si>
  <si>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</si>
  <si>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</si>
  <si>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</si>
  <si>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</si>
  <si>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</si>
  <si>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</si>
  <si>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</si>
  <si>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</si>
  <si>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</si>
  <si>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</si>
  <si>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</si>
  <si>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</si>
  <si>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</si>
  <si>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</si>
  <si>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</si>
  <si>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</si>
  <si>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</si>
  <si>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</si>
  <si>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</si>
  <si>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</si>
  <si>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</si>
  <si>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</si>
  <si>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</si>
  <si>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</si>
  <si>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</si>
  <si>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</si>
  <si>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</si>
  <si>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</si>
  <si>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</si>
  <si>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</si>
  <si>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</si>
  <si>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</si>
  <si>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</si>
  <si>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</si>
  <si>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</si>
  <si>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</si>
  <si>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</si>
  <si>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</si>
  <si>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</si>
  <si>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</si>
  <si>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</si>
  <si>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</si>
  <si>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</si>
  <si>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</si>
  <si>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</si>
  <si>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</si>
  <si>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</si>
  <si>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</si>
  <si>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</si>
  <si>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</si>
  <si>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</si>
  <si>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</si>
  <si>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</si>
  <si>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</si>
  <si>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</si>
  <si>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</si>
  <si>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</si>
  <si>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</si>
  <si>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</si>
  <si>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</si>
  <si>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</si>
  <si>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</si>
  <si>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</si>
  <si>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</si>
  <si>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</si>
  <si>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</si>
  <si>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</si>
  <si>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</si>
  <si>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</si>
  <si>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</si>
  <si>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</si>
  <si>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</si>
  <si>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</si>
  <si>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</si>
  <si>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</si>
  <si>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</si>
  <si>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</si>
  <si>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</si>
  <si>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</si>
  <si>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</si>
  <si>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</si>
  <si>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</si>
  <si>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</si>
  <si>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</si>
  <si>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</si>
  <si>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</si>
  <si>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</si>
  <si>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</si>
  <si>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</si>
  <si>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</si>
  <si>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</si>
  <si>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</si>
  <si>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</si>
  <si>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</si>
  <si>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</si>
  <si>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</si>
  <si>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</si>
  <si>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</si>
  <si>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</si>
  <si>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</si>
  <si>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</si>
  <si>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</si>
  <si>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</si>
  <si>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</si>
  <si>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</si>
  <si>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</si>
  <si>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</si>
  <si>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</si>
  <si>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</si>
  <si>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</si>
  <si>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</si>
  <si>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</si>
  <si>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</si>
  <si>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</si>
  <si>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</si>
  <si>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</si>
  <si>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</si>
  <si>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</si>
  <si>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</si>
  <si>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</si>
  <si>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</si>
  <si>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</si>
  <si>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</si>
  <si>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</si>
  <si>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</si>
  <si>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</si>
  <si>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</si>
  <si>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</si>
  <si>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</si>
  <si>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</si>
  <si>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</si>
  <si>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</si>
  <si>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</si>
  <si>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</si>
  <si>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</si>
  <si>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</si>
  <si>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</si>
  <si>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</si>
  <si>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</si>
  <si>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</si>
  <si>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</si>
  <si>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</si>
  <si>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</si>
  <si>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</si>
  <si>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</si>
  <si>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</si>
  <si>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</si>
  <si>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</si>
  <si>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</si>
  <si>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</si>
  <si>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</si>
  <si>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</si>
  <si>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</si>
  <si>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</si>
  <si>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</si>
  <si>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</si>
  <si>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</si>
  <si>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</si>
  <si>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</si>
  <si>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</si>
  <si>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</si>
  <si>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</si>
  <si>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</si>
  <si>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</si>
  <si>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</si>
  <si>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</si>
  <si>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</si>
  <si>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</si>
  <si>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</si>
  <si>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</si>
  <si>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</si>
  <si>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</si>
  <si>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</si>
  <si>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</si>
  <si>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</si>
  <si>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</si>
  <si>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</si>
  <si>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</si>
  <si>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</si>
  <si>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</si>
  <si>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</si>
  <si>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</si>
  <si>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</si>
  <si>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</si>
  <si>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</si>
  <si>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</si>
  <si>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</si>
  <si>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</si>
  <si>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</si>
  <si>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</si>
  <si>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</si>
  <si>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</si>
  <si>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</si>
  <si>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</si>
  <si>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</si>
  <si>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</si>
  <si>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</si>
  <si>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</si>
  <si>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</si>
  <si>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</si>
  <si>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</si>
  <si>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</si>
  <si>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</si>
  <si>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</si>
  <si>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</si>
  <si>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</si>
  <si>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</si>
  <si>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</si>
  <si>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</si>
  <si>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</si>
  <si>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</si>
  <si>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</si>
  <si>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</si>
  <si>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</si>
  <si>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</si>
  <si>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</si>
  <si>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</si>
  <si>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</si>
  <si>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</si>
  <si>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</si>
  <si>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</si>
  <si>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</si>
  <si>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</si>
  <si>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</si>
  <si>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</si>
  <si>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</si>
  <si>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</si>
  <si>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</si>
  <si>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</si>
  <si>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</si>
  <si>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</si>
  <si>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</si>
  <si>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</si>
  <si>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</si>
  <si>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</si>
  <si>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</si>
  <si>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</si>
  <si>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</si>
  <si>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</si>
  <si>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</si>
  <si>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</si>
  <si>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</si>
  <si>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</si>
  <si>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</si>
  <si>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</si>
  <si>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</si>
  <si>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</si>
  <si>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</si>
  <si>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</si>
  <si>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</si>
  <si>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</si>
  <si>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</si>
  <si>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</si>
  <si>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</si>
  <si>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</si>
  <si>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</si>
  <si>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</si>
  <si>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</si>
  <si>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</si>
  <si>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</si>
  <si>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</si>
  <si>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</si>
  <si>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</si>
  <si>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</si>
  <si>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</si>
  <si>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</si>
  <si>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</si>
  <si>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</si>
  <si>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</si>
  <si>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</si>
  <si>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</si>
  <si>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</si>
  <si>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</si>
  <si>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</si>
  <si>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</si>
  <si>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</si>
  <si>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</si>
  <si>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</si>
  <si>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</si>
  <si>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</si>
  <si>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</si>
  <si>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</si>
  <si>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</si>
  <si>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</si>
  <si>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</si>
  <si>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</si>
  <si>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</si>
  <si>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</si>
  <si>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</si>
  <si>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</si>
  <si>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</si>
  <si>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</si>
  <si>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</si>
  <si>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</si>
  <si>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</si>
  <si>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</si>
  <si>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</si>
  <si>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</si>
  <si>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</si>
  <si>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</si>
  <si>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</si>
  <si>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</si>
  <si>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</si>
  <si>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</si>
  <si>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</si>
  <si>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</si>
  <si>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</si>
  <si>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</si>
  <si>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</si>
  <si>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</si>
  <si>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</si>
  <si>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</si>
  <si>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</si>
  <si>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</si>
  <si>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</si>
  <si>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</si>
  <si>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</si>
  <si>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</si>
  <si>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</si>
  <si>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</si>
  <si>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</si>
  <si>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</si>
  <si>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</si>
  <si>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</si>
  <si>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</si>
  <si>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</si>
  <si>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</si>
  <si>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</si>
  <si>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</si>
  <si>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</si>
  <si>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</si>
  <si>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</si>
  <si>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</si>
  <si>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</si>
  <si>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</si>
  <si>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</si>
  <si>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</si>
  <si>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</si>
  <si>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</si>
  <si>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</si>
  <si>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</si>
  <si>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</si>
  <si>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</si>
  <si>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</si>
  <si>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</si>
  <si>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</si>
  <si>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</si>
  <si>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</si>
  <si>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</si>
  <si>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</si>
  <si>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</si>
  <si>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</si>
  <si>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</si>
  <si>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</si>
  <si>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</si>
  <si>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</si>
  <si>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</si>
  <si>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</si>
  <si>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</si>
  <si>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</si>
  <si>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</si>
  <si>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</si>
  <si>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</si>
  <si>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</si>
  <si>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</si>
  <si>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</si>
  <si>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</si>
  <si>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</si>
  <si>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</si>
  <si>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</si>
  <si>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</si>
  <si>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</si>
  <si>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</si>
  <si>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</si>
  <si>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</si>
  <si>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</si>
  <si>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</si>
  <si>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</si>
  <si>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</si>
  <si>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</si>
  <si>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</si>
  <si>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</si>
  <si>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</si>
  <si>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</si>
  <si>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</si>
  <si>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</si>
  <si>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</si>
  <si>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</si>
  <si>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</si>
  <si>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</si>
  <si>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</si>
  <si>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</si>
  <si>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</si>
  <si>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</si>
  <si>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</si>
  <si>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</si>
  <si>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</si>
  <si>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</si>
  <si>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</si>
  <si>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</si>
  <si>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</si>
  <si>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</si>
  <si>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</si>
  <si>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</si>
  <si>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</si>
  <si>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</si>
  <si>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</si>
  <si>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</si>
  <si>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</si>
  <si>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</si>
  <si>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</si>
  <si>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</si>
  <si>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</si>
  <si>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</si>
  <si>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</si>
  <si>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</si>
  <si>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</si>
  <si>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</si>
  <si>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</si>
  <si>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</si>
  <si>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</si>
  <si>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</si>
  <si>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</si>
  <si>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</si>
  <si>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</si>
  <si>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</si>
  <si>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</si>
  <si>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</si>
  <si>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</si>
  <si>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</si>
  <si>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</si>
  <si>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</si>
  <si>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</si>
  <si>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</si>
  <si>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</si>
  <si>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</si>
  <si>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</si>
  <si>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</si>
  <si>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</si>
  <si>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</si>
  <si>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</si>
  <si>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</si>
  <si>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</si>
  <si>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</si>
  <si>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</si>
  <si>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</si>
  <si>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</si>
  <si>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</si>
  <si>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</si>
  <si>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</si>
  <si>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</si>
  <si>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</si>
  <si>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</si>
  <si>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</si>
  <si>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</si>
  <si>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</si>
  <si>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</si>
  <si>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</si>
  <si>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</si>
  <si>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</si>
  <si>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</si>
  <si>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</si>
  <si>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</si>
  <si>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</si>
  <si>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</si>
  <si>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</si>
  <si>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</si>
  <si>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</si>
  <si>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</si>
  <si>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</si>
  <si>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</si>
  <si>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</si>
  <si>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</si>
  <si>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</si>
  <si>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</si>
  <si>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</si>
  <si>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</si>
  <si>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</si>
  <si>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</si>
  <si>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</si>
  <si>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</si>
  <si>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</si>
  <si>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</si>
  <si>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</si>
  <si>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</si>
  <si>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</si>
  <si>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</si>
  <si>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</si>
  <si>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</si>
  <si>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</si>
  <si>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</si>
  <si>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</si>
  <si>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</si>
  <si>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</si>
  <si>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</si>
  <si>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</si>
  <si>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</si>
  <si>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</si>
  <si>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</si>
  <si>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</si>
  <si>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</si>
  <si>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</si>
  <si>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</si>
  <si>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</si>
  <si>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</si>
  <si>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</si>
  <si>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</si>
  <si>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</si>
  <si>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</si>
  <si>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</si>
  <si>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</si>
  <si>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</si>
  <si>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</si>
  <si>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</si>
  <si>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</si>
  <si>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</si>
  <si>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</si>
  <si>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</si>
  <si>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</si>
  <si>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</si>
  <si>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</si>
  <si>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</si>
  <si>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</si>
  <si>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</si>
  <si>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</si>
  <si>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</si>
  <si>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</si>
  <si>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</si>
  <si>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</si>
  <si>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</si>
  <si>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</si>
  <si>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</si>
  <si>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</si>
  <si>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</si>
  <si>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</si>
  <si>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</si>
  <si>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</si>
  <si>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</si>
  <si>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</si>
  <si>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</si>
  <si>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</si>
  <si>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</si>
  <si>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</si>
  <si>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</si>
  <si>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</si>
  <si>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</si>
  <si>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</si>
  <si>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</si>
  <si>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</si>
  <si>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</si>
  <si>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</si>
  <si>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</si>
  <si>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</si>
  <si>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</si>
  <si>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</si>
  <si>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</si>
  <si>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</si>
  <si>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</si>
  <si>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</si>
  <si>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</si>
  <si>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</si>
  <si>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</si>
  <si>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</si>
  <si>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</si>
  <si>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</si>
  <si>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</si>
  <si>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</si>
  <si>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</si>
  <si>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</si>
  <si>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</si>
  <si>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</si>
  <si>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</si>
  <si>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</si>
  <si>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</si>
  <si>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</si>
  <si>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</si>
  <si>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</si>
  <si>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</si>
  <si>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</si>
  <si>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</si>
  <si>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</si>
  <si>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</si>
  <si>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</si>
  <si>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</si>
  <si>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</si>
  <si>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</si>
  <si>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</si>
  <si>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</si>
  <si>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</si>
  <si>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</si>
  <si>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</si>
  <si>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</si>
  <si>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</si>
  <si>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</si>
  <si>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</si>
  <si>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</si>
  <si>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</si>
  <si>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</si>
  <si>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</si>
  <si>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</si>
  <si>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</si>
  <si>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</si>
  <si>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</si>
  <si>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</si>
  <si>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</si>
  <si>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</si>
  <si>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</si>
  <si>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</si>
  <si>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</si>
  <si>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</si>
  <si>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</si>
  <si>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</si>
  <si>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</si>
  <si>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</si>
  <si>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</si>
  <si>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</si>
  <si>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</si>
  <si>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</si>
  <si>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</si>
  <si>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</si>
  <si>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</si>
  <si>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</si>
  <si>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</si>
  <si>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</si>
  <si>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</si>
  <si>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</si>
  <si>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</si>
  <si>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</si>
  <si>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</si>
  <si>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</si>
  <si>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</si>
  <si>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</si>
  <si>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</si>
  <si>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</si>
  <si>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</si>
  <si>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</si>
  <si>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</si>
  <si>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</si>
  <si>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</si>
  <si>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</si>
  <si>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</si>
  <si>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</si>
  <si>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</si>
  <si>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</si>
  <si>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</si>
  <si>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</si>
  <si>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</si>
  <si>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</si>
  <si>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</si>
  <si>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</si>
  <si>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</si>
  <si>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</si>
  <si>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</si>
  <si>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</si>
  <si>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</si>
  <si>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</si>
  <si>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</si>
  <si>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</si>
  <si>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</si>
  <si>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</si>
  <si>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</si>
  <si>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</si>
  <si>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</si>
  <si>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</si>
  <si>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</si>
  <si>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</si>
  <si>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</si>
  <si>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</si>
  <si>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</si>
  <si>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</si>
  <si>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</si>
  <si>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</si>
  <si>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</si>
  <si>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</si>
  <si>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</si>
  <si>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</si>
  <si>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</si>
  <si>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</si>
  <si>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</si>
  <si>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</si>
  <si>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</si>
  <si>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</si>
  <si>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</si>
  <si>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</si>
  <si>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</si>
  <si>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</si>
  <si>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</si>
  <si>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</si>
  <si>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</si>
  <si>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</si>
  <si>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</si>
  <si>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</si>
  <si>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</si>
  <si>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</si>
  <si>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</si>
  <si>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</si>
  <si>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</si>
  <si>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</si>
  <si>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</si>
  <si>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</si>
  <si>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</si>
  <si>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</si>
  <si>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</si>
  <si>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</si>
  <si>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</si>
  <si>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</si>
  <si>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</si>
  <si>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</si>
  <si>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</si>
  <si>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</si>
  <si>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</si>
  <si>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</si>
  <si>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</si>
  <si>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</si>
  <si>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</si>
  <si>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</si>
  <si>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</si>
  <si>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</si>
  <si>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</si>
  <si>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</si>
  <si>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</si>
  <si>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</si>
  <si>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</si>
  <si>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</si>
  <si>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</si>
  <si>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</si>
  <si>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</si>
  <si>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</si>
  <si>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</si>
  <si>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</si>
  <si>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</si>
  <si>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</si>
  <si>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</si>
  <si>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</si>
  <si>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</si>
  <si>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</si>
  <si>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</si>
  <si>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</si>
  <si>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</si>
  <si>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</si>
  <si>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</si>
  <si>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</si>
  <si>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</si>
  <si>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</si>
  <si>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</si>
  <si>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</si>
  <si>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</si>
  <si>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</si>
  <si>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</si>
  <si>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</si>
  <si>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</si>
  <si>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</si>
  <si>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</si>
  <si>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</si>
  <si>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</si>
  <si>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</si>
  <si>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</si>
  <si>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</si>
  <si>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</si>
  <si>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</si>
  <si>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</si>
  <si>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</si>
  <si>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</si>
  <si>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</si>
  <si>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</si>
  <si>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</si>
  <si>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</si>
  <si>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</si>
  <si>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</si>
  <si>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</si>
  <si>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</si>
  <si>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</si>
  <si>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</si>
  <si>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</si>
  <si>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</si>
  <si>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</si>
  <si>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</si>
  <si>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</si>
  <si>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</si>
  <si>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</si>
  <si>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</si>
  <si>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</si>
  <si>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</si>
  <si>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</si>
  <si>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</si>
  <si>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</si>
  <si>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</si>
  <si>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</si>
  <si>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</si>
  <si>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</si>
  <si>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</si>
  <si>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</si>
  <si>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</si>
  <si>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</si>
  <si>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</si>
  <si>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</si>
  <si>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</si>
  <si>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</si>
  <si>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</si>
  <si>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</si>
  <si>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</si>
  <si>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</si>
  <si>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</si>
  <si>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</si>
  <si>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</si>
  <si>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</si>
  <si>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</si>
  <si>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</si>
  <si>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</si>
  <si>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</si>
  <si>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</si>
  <si>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</si>
  <si>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</si>
  <si>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</si>
  <si>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</si>
  <si>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</si>
  <si>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</si>
  <si>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</si>
  <si>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</si>
  <si>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</si>
  <si>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</si>
  <si>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</si>
  <si>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</si>
  <si>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</si>
  <si>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</si>
  <si>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</si>
  <si>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</si>
  <si>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</si>
  <si>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</si>
  <si>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</si>
  <si>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</si>
  <si>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</si>
  <si>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</si>
  <si>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</si>
  <si>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</si>
  <si>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</si>
  <si>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</si>
  <si>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</si>
  <si>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</si>
  <si>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</si>
  <si>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</si>
  <si>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</si>
  <si>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</si>
  <si>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</si>
  <si>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</si>
  <si>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</si>
  <si>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</si>
  <si>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</si>
  <si>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</si>
  <si>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</si>
  <si>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</si>
  <si>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</si>
  <si>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</si>
  <si>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</si>
  <si>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</si>
  <si>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</si>
  <si>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</si>
  <si>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</si>
  <si>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</si>
  <si>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</si>
  <si>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</si>
  <si>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</si>
  <si>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</si>
  <si>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</si>
  <si>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</si>
  <si>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</si>
  <si>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</si>
  <si>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</si>
  <si>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</si>
  <si>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</si>
  <si>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</si>
  <si>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</si>
  <si>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</si>
  <si>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</si>
  <si>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</si>
  <si>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</si>
  <si>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</si>
  <si>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</si>
  <si>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</si>
  <si>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</si>
  <si>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</si>
  <si>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</si>
  <si>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</si>
  <si>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</si>
  <si>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</si>
  <si>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</si>
  <si>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</si>
  <si>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</si>
  <si>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</si>
  <si>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</si>
  <si>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</si>
  <si>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</si>
  <si>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</si>
  <si>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</si>
  <si>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</si>
  <si>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</si>
  <si>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</si>
  <si>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</si>
  <si>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</si>
  <si>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</si>
  <si>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</si>
  <si>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</si>
  <si>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</si>
  <si>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</si>
  <si>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</si>
  <si>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</si>
  <si>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</si>
  <si>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</si>
  <si>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</si>
  <si>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</si>
  <si>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</si>
  <si>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</si>
  <si>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</si>
  <si>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</si>
  <si>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</si>
  <si>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</si>
  <si>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</si>
  <si>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</si>
  <si>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</si>
  <si>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</si>
  <si>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</si>
  <si>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</si>
  <si>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</si>
  <si>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</si>
  <si>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</si>
  <si>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</si>
  <si>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</si>
  <si>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</si>
  <si>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</si>
  <si>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</si>
  <si>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</si>
  <si>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</si>
  <si>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</si>
  <si>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</si>
  <si>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</si>
  <si>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</si>
  <si>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</si>
  <si>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</si>
  <si>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</si>
  <si>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</si>
  <si>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</si>
  <si>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</si>
  <si>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</si>
  <si>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</si>
  <si>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</si>
  <si>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</si>
  <si>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</si>
  <si>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</si>
  <si>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</si>
  <si>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</si>
  <si>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</si>
  <si>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</si>
  <si>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</si>
  <si>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</si>
  <si>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</si>
  <si>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</si>
  <si>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</si>
  <si>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</si>
  <si>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</si>
  <si>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</si>
  <si>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</si>
  <si>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</si>
  <si>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</si>
  <si>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</si>
  <si>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</si>
  <si>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</si>
  <si>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</si>
  <si>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</si>
  <si>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</si>
  <si>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</si>
  <si>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</si>
  <si>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</si>
  <si>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</si>
  <si>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</si>
  <si>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</si>
  <si>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</si>
  <si>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</si>
  <si>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</si>
  <si>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</si>
  <si>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</si>
  <si>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</si>
  <si>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</si>
  <si>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</si>
  <si>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</si>
  <si>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</si>
  <si>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</si>
  <si>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</si>
  <si>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</si>
  <si>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</si>
  <si>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</si>
  <si>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</si>
  <si>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</si>
  <si>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</si>
  <si>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</si>
  <si>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</si>
  <si>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</si>
  <si>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</si>
  <si>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</si>
  <si>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</si>
  <si>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</si>
  <si>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</si>
  <si>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</si>
  <si>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</si>
  <si>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</si>
  <si>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</si>
  <si>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</si>
  <si>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</si>
  <si>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</si>
  <si>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</si>
  <si>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</si>
  <si>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</si>
  <si>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</si>
  <si>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</si>
  <si>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</si>
  <si>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</si>
  <si>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</si>
  <si>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</si>
  <si>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</si>
  <si>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</si>
  <si>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</si>
  <si>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</si>
  <si>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</si>
  <si>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</si>
  <si>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</si>
  <si>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</si>
  <si>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</si>
  <si>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</si>
  <si>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</si>
  <si>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</si>
  <si>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</si>
  <si>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</si>
  <si>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</si>
  <si>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</si>
  <si>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</si>
  <si>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</si>
  <si>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</si>
  <si>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</si>
  <si>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</si>
  <si>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</si>
  <si>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</si>
  <si>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</si>
  <si>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</si>
  <si>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</si>
  <si>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</si>
  <si>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</si>
  <si>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</si>
  <si>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</si>
  <si>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</si>
  <si>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</si>
  <si>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</si>
  <si>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</si>
  <si>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</si>
  <si>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</si>
  <si>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</si>
  <si>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</si>
  <si>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</si>
  <si>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</si>
  <si>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</si>
  <si>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</si>
  <si>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</si>
  <si>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</si>
  <si>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</si>
  <si>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</si>
  <si>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</si>
  <si>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</si>
  <si>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</si>
  <si>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</si>
  <si>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</si>
  <si>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</si>
  <si>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</si>
  <si>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</si>
  <si>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</si>
  <si>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</si>
  <si>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</si>
  <si>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</si>
  <si>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</si>
  <si>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</si>
  <si>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</si>
  <si>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</si>
  <si>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</si>
  <si>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</si>
  <si>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</si>
  <si>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</si>
  <si>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</si>
  <si>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</si>
  <si>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</si>
  <si>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</si>
  <si>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</si>
  <si>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</si>
  <si>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</si>
  <si>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</si>
  <si>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</si>
  <si>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</si>
  <si>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</si>
  <si>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</si>
  <si>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</si>
  <si>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</si>
  <si>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</si>
  <si>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</si>
  <si>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</si>
  <si>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</si>
  <si>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</si>
  <si>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</si>
  <si>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</si>
  <si>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</si>
  <si>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</si>
  <si>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</si>
  <si>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</si>
  <si>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</si>
  <si>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</si>
  <si>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</si>
  <si>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</si>
  <si>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</si>
  <si>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</si>
  <si>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</si>
  <si>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</si>
  <si>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</si>
  <si>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</si>
  <si>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</si>
  <si>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</si>
  <si>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</si>
  <si>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</si>
  <si>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</si>
  <si>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</si>
  <si>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</si>
  <si>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</si>
  <si>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</si>
  <si>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</si>
  <si>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</si>
  <si>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</si>
  <si>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</si>
  <si>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</si>
  <si>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</si>
  <si>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</si>
  <si>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</si>
  <si>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</si>
  <si>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</si>
  <si>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</si>
  <si>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</si>
  <si>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</si>
  <si>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</si>
  <si>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</si>
  <si>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</si>
  <si>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</si>
  <si>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</si>
  <si>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</si>
  <si>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</si>
  <si>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</si>
  <si>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</si>
  <si>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</si>
  <si>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</si>
  <si>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</si>
  <si>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</si>
  <si>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</si>
  <si>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</si>
  <si>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</si>
  <si>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</si>
  <si>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</si>
  <si>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</si>
  <si>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</si>
  <si>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</si>
  <si>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</si>
  <si>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</si>
  <si>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</si>
  <si>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</si>
  <si>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</si>
  <si>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</si>
  <si>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</si>
  <si>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</si>
  <si>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</si>
  <si>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</si>
  <si>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</si>
  <si>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</si>
  <si>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</si>
  <si>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</si>
  <si>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</si>
  <si>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</si>
  <si>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</si>
  <si>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</si>
  <si>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</si>
  <si>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</si>
  <si>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</si>
  <si>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</si>
  <si>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</si>
  <si>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</si>
  <si>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</si>
  <si>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</si>
  <si>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</si>
  <si>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</si>
  <si>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</si>
  <si>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</si>
  <si>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</si>
  <si>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</si>
  <si>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</si>
  <si>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</si>
  <si>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</si>
  <si>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</si>
  <si>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</si>
  <si>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</si>
  <si>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</si>
  <si>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</si>
  <si>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</si>
  <si>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</si>
  <si>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</si>
  <si>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</si>
  <si>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</si>
  <si>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</si>
  <si>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</si>
  <si>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</si>
  <si>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</si>
  <si>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</si>
  <si>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</si>
  <si>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</si>
  <si>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</si>
  <si>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</si>
  <si>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</si>
  <si>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</si>
  <si>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</si>
  <si>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</si>
  <si>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</si>
  <si>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</si>
  <si>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</si>
  <si>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</si>
  <si>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</si>
  <si>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</si>
  <si>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</si>
  <si>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</si>
  <si>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</si>
  <si>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</si>
  <si>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</si>
  <si>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</si>
  <si>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</si>
  <si>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</si>
  <si>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</si>
  <si>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</si>
  <si>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</si>
  <si>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</si>
  <si>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</si>
  <si>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</si>
  <si>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</si>
  <si>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</si>
  <si>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</si>
  <si>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</si>
  <si>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</si>
  <si>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</si>
  <si>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</si>
  <si>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</si>
  <si>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</si>
  <si>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</si>
  <si>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</si>
  <si>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</si>
  <si>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</si>
  <si>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</si>
  <si>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</si>
  <si>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</si>
  <si>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</si>
  <si>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</si>
  <si>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</si>
  <si>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</si>
  <si>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</si>
  <si>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</si>
  <si>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</si>
  <si>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</si>
  <si>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</si>
  <si>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</si>
  <si>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</si>
  <si>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</si>
  <si>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</si>
  <si>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</si>
  <si>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</si>
  <si>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</si>
  <si>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</si>
  <si>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</si>
  <si>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</si>
  <si>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</si>
  <si>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</si>
  <si>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</si>
  <si>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</si>
  <si>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</si>
  <si>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</si>
  <si>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</si>
  <si>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</si>
  <si>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</si>
  <si>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</si>
  <si>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</si>
  <si>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</si>
  <si>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</si>
  <si>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</si>
  <si>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</si>
  <si>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</si>
  <si>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</si>
  <si>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</si>
  <si>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</si>
  <si>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</si>
  <si>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</si>
  <si>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</si>
  <si>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</si>
  <si>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</si>
  <si>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</si>
  <si>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</si>
  <si>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</si>
  <si>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</si>
  <si>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</si>
  <si>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</si>
  <si>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</si>
  <si>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</si>
  <si>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</si>
  <si>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</si>
  <si>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</si>
  <si>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</si>
  <si>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</si>
  <si>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</si>
  <si>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</si>
  <si>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</si>
  <si>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</si>
  <si>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</si>
  <si>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</si>
  <si>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</si>
  <si>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</si>
  <si>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</si>
  <si>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</si>
  <si>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</si>
  <si>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</si>
  <si>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</si>
  <si>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</si>
  <si>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</si>
  <si>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</si>
  <si>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</si>
  <si>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</si>
  <si>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</si>
  <si>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</si>
  <si>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</si>
  <si>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</si>
  <si>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</si>
  <si>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</si>
  <si>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</si>
  <si>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</si>
  <si>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</si>
  <si>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</si>
  <si>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</si>
  <si>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</si>
  <si>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</si>
  <si>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</si>
  <si>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</si>
  <si>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</si>
  <si>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</si>
  <si>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</si>
  <si>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</si>
  <si>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</si>
  <si>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</si>
  <si>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</si>
  <si>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</si>
  <si>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</si>
  <si>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</si>
  <si>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</si>
  <si>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</si>
  <si>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</si>
  <si>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</si>
  <si>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</si>
  <si>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</si>
  <si>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</si>
  <si>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</si>
  <si>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</si>
  <si>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</si>
  <si>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</si>
  <si>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</si>
  <si>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</si>
  <si>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</si>
  <si>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</si>
  <si>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</si>
  <si>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</si>
  <si>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</si>
  <si>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</si>
  <si>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</si>
  <si>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</si>
  <si>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</si>
  <si>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</si>
  <si>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</si>
  <si>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</si>
  <si>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</si>
  <si>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</si>
  <si>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</si>
  <si>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</si>
  <si>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</si>
  <si>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</si>
  <si>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</si>
  <si>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</si>
  <si>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</si>
  <si>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</si>
  <si>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</si>
  <si>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</si>
  <si>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</si>
  <si>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</si>
  <si>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</si>
  <si>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</si>
  <si>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</si>
  <si>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</si>
  <si>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</si>
  <si>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</si>
  <si>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</si>
  <si>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</si>
  <si>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</si>
  <si>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</si>
  <si>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</si>
  <si>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</si>
  <si>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</si>
  <si>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</si>
  <si>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</si>
  <si>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</si>
  <si>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</si>
  <si>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</si>
  <si>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</si>
  <si>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</si>
  <si>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</si>
  <si>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</si>
  <si>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</si>
  <si>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</si>
  <si>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</si>
  <si>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</si>
  <si>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</si>
  <si>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</si>
  <si>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</si>
  <si>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</si>
  <si>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</si>
  <si>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</si>
  <si>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</si>
  <si>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</si>
  <si>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</si>
  <si>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</si>
  <si>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</si>
  <si>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</si>
  <si>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</si>
  <si>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</si>
  <si>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</si>
  <si>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</si>
  <si>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</si>
  <si>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</si>
  <si>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</si>
  <si>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</si>
  <si>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</si>
  <si>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</si>
  <si>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</si>
  <si>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</si>
  <si>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</si>
  <si>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</si>
  <si>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</si>
  <si>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</si>
  <si>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</si>
  <si>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</si>
  <si>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</si>
  <si>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</si>
  <si>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</si>
  <si>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</si>
  <si>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</si>
  <si>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</si>
  <si>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</si>
  <si>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</si>
  <si>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</si>
  <si>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</si>
  <si>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</si>
  <si>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</si>
  <si>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</si>
  <si>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</si>
  <si>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</si>
  <si>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</si>
  <si>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</si>
  <si>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</si>
  <si>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</si>
  <si>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</si>
  <si>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</si>
  <si>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</si>
  <si>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</si>
  <si>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</si>
  <si>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</si>
  <si>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</si>
  <si>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</si>
  <si>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</si>
  <si>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</si>
  <si>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</si>
  <si>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</si>
  <si>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</si>
  <si>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</si>
  <si>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</si>
  <si>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</si>
  <si>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</si>
  <si>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</si>
  <si>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</si>
  <si>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</si>
  <si>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</si>
  <si>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</si>
  <si>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</si>
  <si>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</si>
  <si>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</si>
  <si>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</si>
  <si>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</si>
  <si>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</si>
  <si>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</si>
  <si>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</si>
  <si>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</si>
  <si>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</si>
  <si>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</si>
  <si>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</si>
  <si>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</si>
  <si>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</si>
  <si>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</si>
  <si>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</si>
  <si>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</si>
  <si>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</si>
  <si>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</si>
  <si>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</si>
  <si>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</si>
  <si>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</si>
  <si>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</si>
  <si>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</si>
  <si>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</si>
  <si>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</si>
  <si>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</si>
  <si>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</si>
  <si>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</si>
  <si>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</si>
  <si>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</si>
  <si>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</si>
  <si>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</si>
  <si>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</si>
  <si>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</si>
  <si>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</si>
  <si>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</si>
  <si>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</si>
  <si>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</si>
  <si>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</si>
  <si>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</si>
  <si>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</si>
  <si>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</si>
  <si>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</si>
  <si>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</si>
  <si>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</si>
  <si>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</si>
  <si>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</si>
  <si>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</si>
  <si>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</si>
  <si>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</si>
  <si>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</si>
  <si>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</si>
  <si>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</si>
  <si>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</si>
  <si>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</si>
  <si>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</si>
  <si>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</si>
  <si>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</si>
  <si>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</si>
  <si>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</si>
  <si>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</si>
  <si>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</si>
  <si>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</si>
  <si>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</si>
  <si>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</si>
  <si>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</si>
  <si>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</si>
  <si>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</si>
  <si>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</si>
  <si>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</si>
  <si>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</si>
  <si>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</si>
  <si>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</si>
  <si>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</si>
  <si>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</si>
  <si>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</si>
  <si>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</si>
  <si>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</si>
  <si>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</si>
  <si>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</si>
  <si>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</si>
  <si>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</si>
  <si>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</si>
  <si>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</si>
  <si>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</si>
  <si>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</si>
  <si>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</si>
  <si>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</si>
  <si>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</si>
  <si>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</si>
  <si>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</si>
  <si>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</si>
  <si>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</si>
  <si>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</si>
  <si>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</si>
  <si>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</si>
  <si>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</si>
  <si>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</si>
  <si>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</si>
  <si>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</si>
  <si>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</si>
  <si>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</si>
  <si>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</si>
  <si>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</si>
  <si>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</si>
  <si>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</si>
  <si>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</si>
  <si>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</si>
  <si>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</si>
  <si>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</si>
  <si>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</si>
  <si>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</si>
  <si>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</si>
  <si>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</si>
  <si>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</si>
  <si>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</si>
  <si>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</si>
  <si>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</si>
  <si>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</si>
  <si>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</si>
  <si>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</si>
  <si>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</si>
  <si>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</si>
  <si>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</si>
  <si>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</si>
  <si>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</si>
  <si>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</si>
  <si>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</si>
  <si>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</si>
  <si>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</si>
  <si>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</si>
  <si>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</si>
  <si>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</si>
  <si>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</si>
  <si>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</si>
  <si>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</si>
  <si>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</si>
  <si>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</si>
  <si>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</si>
  <si>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</si>
  <si>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</si>
  <si>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</si>
  <si>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</si>
  <si>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</si>
  <si>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</si>
  <si>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</si>
  <si>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</si>
  <si>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</si>
  <si>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</si>
  <si>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</si>
  <si>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</si>
  <si>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</si>
  <si>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</si>
  <si>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</si>
  <si>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</si>
  <si>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</si>
  <si>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</si>
  <si>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</si>
  <si>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</si>
  <si>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</si>
  <si>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</si>
  <si>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</si>
  <si>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</si>
  <si>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</si>
  <si>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</si>
  <si>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</si>
  <si>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</si>
  <si>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</si>
  <si>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</si>
  <si>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</si>
  <si>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</si>
  <si>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</si>
  <si>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</si>
  <si>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</si>
  <si>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</si>
  <si>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</si>
  <si>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</si>
  <si>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</si>
  <si>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</si>
  <si>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</si>
  <si>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</si>
  <si>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</si>
  <si>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</si>
  <si>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</si>
  <si>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</si>
  <si>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</si>
  <si>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</si>
  <si>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</si>
  <si>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</si>
  <si>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</si>
  <si>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</si>
  <si>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</si>
  <si>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</si>
  <si>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</si>
  <si>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</si>
  <si>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</si>
  <si>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</si>
  <si>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</si>
  <si>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</si>
  <si>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</si>
  <si>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</si>
  <si>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</si>
  <si>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</si>
  <si>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</si>
  <si>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</si>
  <si>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</si>
  <si>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</si>
  <si>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</si>
  <si>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</si>
  <si>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</si>
  <si>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</si>
  <si>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</si>
  <si>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</si>
  <si>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</si>
  <si>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</si>
  <si>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</si>
  <si>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</si>
  <si>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</si>
  <si>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</si>
  <si>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</si>
  <si>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</si>
  <si>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</si>
  <si>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</si>
  <si>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</si>
  <si>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</si>
  <si>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</si>
  <si>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</si>
  <si>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</si>
  <si>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</si>
  <si>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</si>
  <si>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</si>
  <si>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</si>
  <si>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</si>
  <si>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</si>
  <si>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</si>
  <si>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</si>
  <si>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</si>
  <si>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</si>
  <si>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</si>
  <si>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</si>
  <si>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</si>
  <si>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</si>
  <si>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</si>
  <si>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</si>
  <si>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</si>
  <si>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</si>
  <si>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</si>
  <si>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</si>
  <si>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</si>
  <si>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</si>
  <si>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</si>
  <si>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</si>
  <si>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</si>
  <si>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</si>
  <si>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</si>
  <si>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</si>
  <si>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</si>
  <si>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</si>
  <si>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</si>
  <si>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</si>
  <si>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</si>
  <si>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</si>
  <si>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</si>
  <si>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</si>
  <si>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</si>
  <si>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</si>
  <si>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</si>
  <si>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</si>
  <si>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</si>
  <si>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</si>
  <si>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</si>
  <si>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</si>
  <si>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</si>
  <si>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</si>
  <si>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</si>
  <si>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</si>
  <si>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</si>
  <si>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</si>
  <si>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</si>
  <si>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</si>
  <si>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</si>
  <si>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</si>
  <si>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</si>
  <si>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</si>
  <si>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</si>
  <si>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</si>
  <si>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</si>
  <si>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</si>
  <si>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</si>
  <si>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</si>
  <si>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</si>
  <si>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</si>
  <si>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</si>
  <si>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</si>
  <si>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</si>
  <si>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</si>
  <si>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</si>
  <si>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</si>
  <si>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</si>
  <si>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</si>
  <si>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</si>
  <si>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</si>
  <si>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</si>
  <si>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</si>
  <si>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</si>
  <si>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</si>
  <si>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</si>
  <si>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</si>
  <si>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</si>
  <si>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</si>
  <si>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</si>
  <si>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</si>
  <si>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</si>
  <si>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</si>
  <si>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</si>
  <si>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</si>
  <si>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</si>
  <si>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</si>
  <si>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</si>
  <si>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</si>
  <si>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</si>
  <si>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</si>
  <si>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</si>
  <si>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</si>
  <si>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</si>
  <si>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</si>
  <si>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</si>
  <si>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</si>
  <si>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</si>
  <si>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</si>
  <si>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</si>
  <si>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</si>
  <si>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</si>
  <si>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</si>
  <si>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</si>
  <si>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</si>
  <si>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</si>
  <si>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</si>
  <si>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</si>
  <si>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</si>
  <si>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</si>
  <si>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</si>
  <si>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</si>
  <si>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</si>
  <si>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</si>
  <si>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</si>
  <si>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</si>
  <si>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</si>
  <si>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</si>
  <si>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</si>
  <si>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</si>
  <si>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</si>
  <si>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</si>
  <si>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</si>
  <si>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</si>
  <si>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</si>
  <si>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</si>
  <si>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</si>
  <si>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</si>
  <si>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</si>
  <si>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</si>
  <si>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</si>
  <si>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</si>
  <si>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</si>
  <si>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</si>
  <si>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</si>
  <si>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</si>
  <si>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</si>
  <si>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</si>
  <si>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</si>
  <si>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</si>
  <si>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</si>
  <si>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</si>
  <si>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</si>
  <si>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</si>
  <si>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</si>
  <si>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</si>
  <si>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</si>
  <si>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</si>
  <si>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</si>
  <si>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</si>
  <si>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</si>
  <si>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</si>
  <si>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</si>
  <si>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</si>
  <si>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</si>
  <si>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</si>
  <si>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</si>
  <si>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</si>
  <si>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</si>
  <si>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</si>
  <si>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</si>
  <si>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</si>
  <si>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</si>
  <si>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</si>
  <si>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</si>
  <si>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</si>
  <si>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</si>
  <si>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</si>
  <si>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</si>
  <si>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</si>
  <si>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</si>
  <si>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</si>
  <si>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</si>
  <si>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</si>
  <si>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</si>
  <si>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</si>
  <si>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</si>
  <si>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</si>
  <si>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</si>
  <si>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</si>
  <si>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</si>
  <si>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</si>
  <si>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</si>
  <si>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</si>
  <si>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</si>
  <si>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</si>
  <si>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</si>
  <si>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</si>
  <si>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</si>
  <si>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</si>
  <si>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</si>
  <si>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</si>
  <si>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</si>
  <si>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</si>
  <si>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</si>
  <si>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</si>
  <si>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</si>
  <si>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</si>
  <si>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</si>
  <si>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</si>
  <si>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</si>
  <si>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</si>
  <si>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</si>
  <si>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</si>
  <si>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</si>
  <si>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</si>
  <si>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</si>
  <si>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</si>
  <si>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</si>
  <si>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</si>
  <si>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</si>
  <si>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</si>
  <si>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</si>
  <si>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</si>
  <si>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</si>
  <si>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</si>
  <si>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</si>
  <si>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</si>
  <si>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</si>
  <si>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</si>
  <si>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</si>
  <si>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</si>
  <si>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</si>
  <si>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</si>
  <si>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</si>
  <si>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</si>
  <si>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</si>
  <si>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</si>
  <si>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</si>
  <si>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</si>
  <si>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</si>
  <si>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</si>
  <si>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</si>
  <si>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</si>
  <si>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</si>
  <si>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</si>
  <si>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</si>
  <si>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</si>
  <si>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</si>
  <si>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</si>
  <si>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</si>
  <si>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</si>
  <si>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</si>
  <si>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</si>
  <si>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</si>
  <si>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</si>
  <si>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</si>
  <si>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</si>
  <si>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</si>
  <si>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</si>
  <si>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</si>
  <si>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</si>
  <si>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</si>
  <si>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</si>
  <si>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</si>
  <si>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</si>
  <si>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</si>
  <si>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</si>
  <si>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</si>
  <si>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</si>
  <si>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</si>
  <si>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</si>
  <si>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</si>
  <si>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</si>
  <si>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</si>
  <si>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</si>
  <si>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</si>
  <si>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</si>
  <si>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</si>
  <si>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</si>
  <si>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</si>
  <si>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</si>
  <si>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</si>
  <si>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</si>
  <si>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</si>
  <si>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</si>
  <si>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</si>
  <si>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</si>
  <si>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</si>
  <si>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</si>
  <si>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</si>
  <si>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</si>
  <si>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</si>
  <si>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</si>
  <si>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</si>
  <si>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</si>
  <si>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</si>
  <si>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</si>
  <si>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</si>
  <si>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</si>
  <si>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</si>
  <si>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</si>
  <si>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</si>
  <si>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</si>
  <si>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</si>
  <si>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</si>
  <si>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</si>
  <si>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</si>
  <si>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</si>
  <si>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</si>
  <si>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</si>
  <si>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</si>
  <si>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</si>
  <si>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</si>
  <si>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</si>
  <si>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</si>
  <si>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</si>
  <si>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</si>
  <si>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</si>
  <si>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</si>
  <si>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</si>
  <si>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</si>
  <si>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</si>
  <si>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</si>
  <si>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</si>
  <si>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</si>
  <si>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</si>
  <si>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</si>
  <si>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</si>
  <si>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</si>
  <si>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</si>
  <si>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</si>
  <si>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</si>
  <si>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</si>
  <si>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</si>
  <si>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</si>
  <si>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</si>
  <si>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</si>
  <si>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</si>
  <si>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</si>
  <si>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</si>
  <si>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</si>
  <si>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</si>
  <si>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</si>
  <si>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</si>
  <si>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</si>
  <si>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</si>
  <si>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</si>
  <si>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</si>
  <si>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</si>
  <si>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</si>
  <si>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</si>
  <si>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</si>
  <si>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</si>
  <si>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</si>
  <si>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</si>
  <si>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</si>
  <si>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</si>
  <si>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</si>
  <si>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</si>
  <si>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</si>
  <si>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</si>
  <si>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</si>
  <si>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</si>
  <si>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</si>
  <si>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</si>
  <si>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</si>
  <si>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</si>
  <si>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</si>
  <si>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</si>
  <si>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</si>
  <si>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</si>
  <si>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</si>
  <si>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</si>
  <si>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</si>
  <si>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</si>
  <si>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</si>
  <si>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</si>
  <si>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</si>
  <si>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</si>
  <si>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</si>
  <si>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</si>
  <si>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</si>
  <si>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</si>
  <si>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</si>
  <si>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</si>
  <si>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</si>
  <si>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</si>
  <si>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</si>
  <si>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</si>
  <si>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</si>
  <si>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</si>
  <si>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</si>
  <si>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</si>
  <si>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</si>
  <si>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</si>
  <si>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</si>
  <si>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</si>
  <si>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</si>
  <si>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</si>
  <si>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</si>
  <si>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</si>
  <si>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</si>
  <si>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</si>
  <si>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</si>
  <si>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</si>
  <si>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</si>
  <si>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</si>
  <si>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</si>
  <si>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</si>
  <si>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</si>
  <si>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</si>
  <si>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</si>
  <si>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</si>
  <si>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</si>
  <si>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</si>
  <si>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</si>
  <si>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</si>
  <si>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</si>
  <si>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</si>
  <si>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</si>
  <si>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</si>
  <si>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</si>
  <si>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</si>
  <si>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</si>
  <si>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</si>
  <si>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</si>
  <si>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</si>
  <si>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</si>
  <si>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</si>
  <si>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</si>
  <si>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</si>
  <si>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</si>
  <si>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</si>
  <si>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</si>
  <si>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</si>
  <si>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</si>
  <si>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</si>
  <si>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</si>
  <si>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</si>
  <si>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</si>
  <si>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</si>
  <si>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</si>
  <si>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</si>
  <si>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</si>
  <si>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</si>
  <si>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</si>
  <si>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</si>
  <si>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</si>
  <si>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</si>
  <si>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</si>
  <si>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</si>
  <si>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</si>
  <si>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</si>
  <si>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</si>
  <si>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</si>
  <si>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</si>
  <si>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</si>
  <si>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</si>
  <si>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</si>
  <si>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</si>
  <si>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</si>
  <si>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</si>
  <si>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</si>
  <si>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</si>
  <si>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</si>
  <si>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</si>
  <si>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</si>
  <si>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</si>
  <si>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</si>
  <si>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</si>
  <si>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</si>
  <si>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</si>
  <si>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</si>
  <si>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</si>
  <si>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</si>
  <si>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</si>
  <si>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</si>
  <si>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</si>
  <si>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</si>
  <si>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</si>
  <si>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</si>
  <si>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</si>
  <si>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</si>
  <si>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</si>
  <si>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</si>
  <si>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</si>
  <si>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</si>
  <si>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</si>
  <si>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</si>
  <si>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</si>
  <si>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</si>
  <si>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</si>
  <si>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</si>
  <si>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</si>
  <si>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</si>
  <si>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</si>
  <si>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</si>
  <si>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</si>
  <si>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</si>
  <si>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</si>
  <si>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</si>
  <si>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</si>
  <si>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</si>
  <si>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</si>
  <si>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</si>
  <si>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</si>
  <si>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</si>
  <si>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</si>
  <si>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</si>
  <si>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</si>
  <si>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</si>
  <si>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</si>
  <si>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</si>
  <si>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</si>
  <si>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</si>
  <si>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</si>
  <si>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</si>
  <si>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</si>
  <si>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</si>
  <si>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</si>
  <si>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</si>
  <si>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</si>
  <si>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</si>
  <si>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</si>
  <si>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</si>
  <si>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</si>
  <si>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</si>
  <si>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</si>
  <si>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</si>
  <si>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</si>
  <si>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</si>
  <si>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</si>
  <si>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</si>
  <si>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</si>
  <si>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</si>
  <si>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</si>
  <si>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</si>
  <si>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</si>
  <si>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</si>
  <si>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</si>
  <si>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</si>
  <si>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</si>
  <si>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</si>
  <si>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</si>
  <si>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</si>
  <si>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</si>
  <si>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</si>
  <si>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</si>
  <si>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</si>
  <si>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</si>
  <si>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</si>
  <si>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</si>
  <si>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</si>
  <si>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</si>
  <si>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</si>
  <si>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</si>
  <si>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</si>
  <si>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</si>
  <si>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</si>
  <si>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</si>
  <si>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</si>
  <si>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</si>
  <si>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</si>
  <si>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</si>
  <si>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</si>
  <si>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</si>
  <si>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</si>
  <si>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</si>
  <si>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</si>
  <si>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</si>
  <si>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</si>
  <si>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</si>
  <si>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</si>
  <si>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</si>
  <si>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</si>
  <si>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</si>
  <si>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</si>
  <si>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</si>
  <si>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</si>
  <si>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</si>
  <si>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</si>
  <si>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</si>
  <si>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</si>
  <si>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</si>
  <si>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</si>
  <si>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</si>
  <si>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</si>
  <si>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</si>
  <si>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</si>
  <si>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</si>
  <si>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</si>
  <si>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</si>
  <si>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</si>
  <si>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</si>
  <si>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</si>
  <si>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</si>
  <si>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</si>
  <si>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</si>
  <si>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</si>
  <si>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</si>
  <si>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</si>
  <si>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</si>
  <si>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</si>
  <si>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</si>
  <si>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</si>
  <si>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</si>
  <si>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</si>
  <si>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</si>
  <si>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</si>
  <si>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</si>
  <si>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</si>
  <si>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</si>
  <si>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</si>
  <si>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</si>
  <si>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</si>
  <si>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</si>
  <si>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</si>
  <si>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</si>
  <si>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</si>
  <si>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</si>
  <si>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</si>
  <si>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</si>
  <si>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</si>
  <si>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</si>
  <si>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</si>
  <si>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</si>
  <si>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</si>
  <si>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</si>
  <si>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</si>
  <si>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</si>
  <si>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</si>
  <si>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</si>
  <si>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</si>
  <si>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</si>
  <si>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</si>
  <si>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</si>
  <si>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</si>
  <si>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</si>
  <si>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</si>
  <si>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</si>
  <si>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</si>
  <si>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</si>
  <si>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</si>
  <si>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</si>
  <si>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</si>
  <si>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</si>
  <si>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</si>
  <si>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</si>
  <si>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</si>
  <si>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</si>
  <si>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</si>
  <si>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</si>
  <si>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</si>
  <si>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</si>
  <si>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</si>
  <si>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</si>
  <si>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</si>
  <si>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</si>
  <si>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</si>
  <si>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</si>
  <si>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</si>
  <si>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</si>
  <si>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</si>
  <si>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</si>
  <si>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</si>
  <si>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</si>
  <si>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</si>
  <si>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</si>
  <si>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</si>
  <si>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</si>
  <si>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</si>
  <si>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</si>
  <si>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</si>
  <si>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</si>
  <si>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</si>
  <si>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</si>
  <si>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</si>
  <si>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</si>
  <si>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</si>
  <si>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</si>
  <si>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</si>
  <si>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</si>
  <si>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</si>
  <si>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</si>
  <si>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</si>
  <si>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</si>
  <si>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</si>
  <si>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</si>
  <si>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</si>
  <si>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</si>
  <si>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</si>
  <si>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</si>
  <si>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</si>
  <si>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</si>
  <si>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</si>
  <si>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</si>
  <si>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</si>
  <si>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</si>
  <si>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</si>
  <si>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</si>
  <si>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</si>
  <si>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</si>
  <si>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</si>
  <si>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</si>
  <si>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</si>
  <si>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</si>
  <si>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</si>
  <si>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</si>
  <si>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</si>
  <si>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</si>
  <si>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</si>
  <si>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</si>
  <si>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</si>
  <si>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</si>
  <si>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</si>
  <si>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</si>
  <si>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</si>
  <si>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</si>
  <si>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</si>
  <si>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</si>
  <si>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</si>
  <si>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</si>
  <si>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</si>
  <si>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</si>
  <si>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</si>
  <si>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</si>
  <si>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</si>
  <si>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</si>
  <si>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</si>
  <si>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</si>
  <si>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</si>
  <si>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</si>
  <si>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</si>
  <si>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</si>
  <si>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</si>
  <si>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</si>
  <si>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</si>
  <si>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</si>
  <si>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</si>
  <si>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</si>
  <si>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</si>
  <si>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</si>
  <si>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</si>
  <si>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</si>
  <si>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</si>
  <si>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</si>
  <si>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</si>
  <si>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</si>
  <si>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</si>
  <si>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</si>
  <si>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</si>
  <si>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</si>
  <si>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</si>
  <si>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</si>
  <si>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</si>
  <si>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</si>
  <si>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</si>
  <si>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</si>
  <si>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</si>
  <si>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</si>
  <si>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</si>
  <si>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</si>
  <si>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</si>
  <si>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</si>
  <si>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</si>
  <si>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</si>
  <si>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</si>
  <si>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</si>
  <si>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</si>
  <si>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</si>
  <si>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</si>
  <si>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</si>
  <si>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</si>
  <si>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</si>
  <si>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</si>
  <si>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</si>
  <si>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</si>
  <si>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</si>
  <si>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</si>
  <si>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</si>
  <si>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</si>
  <si>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</si>
  <si>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</si>
  <si>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</si>
  <si>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</si>
  <si>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</si>
  <si>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</si>
  <si>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</si>
  <si>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</si>
  <si>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</si>
  <si>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</si>
  <si>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</si>
  <si>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</si>
  <si>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</si>
  <si>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</si>
  <si>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</si>
  <si>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</si>
  <si>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</si>
  <si>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</si>
  <si>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</si>
  <si>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</si>
  <si>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</si>
  <si>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</si>
  <si>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</si>
  <si>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</si>
  <si>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</si>
  <si>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</si>
  <si>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</si>
  <si>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</si>
  <si>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</si>
  <si>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</si>
  <si>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</si>
  <si>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</si>
  <si>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</si>
  <si>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</si>
  <si>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</si>
  <si>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</si>
  <si>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</si>
  <si>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</si>
  <si>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</si>
  <si>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</si>
  <si>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</si>
  <si>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</si>
  <si>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</si>
  <si>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</si>
  <si>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</si>
  <si>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</si>
  <si>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</si>
  <si>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</si>
  <si>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</si>
  <si>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</si>
  <si>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</si>
  <si>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</si>
  <si>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</si>
  <si>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</si>
  <si>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</si>
  <si>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</si>
  <si>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</si>
  <si>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</si>
  <si>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</si>
  <si>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</si>
  <si>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</si>
  <si>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</si>
  <si>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</si>
  <si>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</si>
  <si>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</si>
  <si>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</si>
  <si>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</si>
  <si>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</si>
  <si>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</si>
  <si>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</si>
  <si>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</si>
  <si>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</si>
  <si>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</si>
  <si>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</si>
  <si>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</si>
  <si>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</si>
  <si>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</si>
  <si>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</si>
  <si>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</si>
  <si>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</si>
  <si>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</si>
  <si>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</si>
  <si>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</si>
  <si>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</si>
  <si>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</si>
  <si>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</si>
  <si>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</si>
  <si>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</si>
  <si>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</si>
  <si>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</si>
  <si>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</si>
  <si>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</si>
  <si>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</si>
  <si>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</si>
  <si>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</si>
  <si>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</si>
  <si>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</si>
  <si>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</si>
  <si>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</si>
  <si>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</si>
  <si>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</si>
  <si>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</si>
  <si>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</si>
  <si>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</si>
  <si>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</si>
  <si>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</si>
  <si>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</si>
  <si>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</si>
  <si>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</si>
  <si>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</si>
  <si>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</si>
  <si>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</si>
  <si>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</si>
  <si>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</si>
  <si>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</si>
  <si>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</si>
  <si>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</si>
  <si>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</si>
  <si>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</si>
  <si>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</si>
  <si>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</si>
  <si>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</si>
  <si>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</si>
  <si>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</si>
  <si>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</si>
  <si>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</si>
  <si>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</si>
  <si>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</si>
  <si>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</si>
  <si>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</si>
  <si>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</si>
  <si>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</si>
  <si>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</si>
  <si>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</si>
  <si>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</si>
  <si>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</si>
  <si>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</si>
  <si>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</si>
  <si>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</si>
  <si>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</si>
  <si>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</si>
  <si>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</si>
  <si>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</si>
  <si>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</si>
  <si>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</si>
  <si>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</si>
  <si>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</si>
  <si>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</si>
  <si>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</si>
  <si>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</si>
  <si>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</si>
  <si>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</si>
  <si>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</si>
  <si>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</si>
  <si>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</si>
  <si>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</si>
  <si>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</si>
  <si>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</si>
  <si>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</si>
  <si>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</si>
  <si>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</si>
  <si>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</si>
  <si>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</si>
  <si>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</si>
  <si>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</si>
  <si>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</si>
  <si>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</si>
  <si>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</si>
  <si>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</si>
  <si>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</si>
  <si>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</si>
  <si>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</si>
  <si>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</si>
  <si>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</si>
  <si>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</si>
  <si>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</si>
  <si>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</si>
  <si>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</si>
  <si>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</si>
  <si>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</si>
  <si>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</si>
  <si>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</si>
  <si>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</si>
  <si>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</si>
  <si>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</si>
  <si>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</si>
  <si>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</si>
  <si>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</si>
  <si>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</si>
  <si>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</si>
  <si>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</si>
  <si>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</si>
  <si>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</si>
  <si>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</si>
  <si>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</si>
  <si>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</si>
  <si>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</si>
  <si>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</si>
  <si>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</si>
  <si>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</si>
  <si>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</si>
  <si>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</si>
  <si>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</si>
  <si>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</si>
  <si>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</si>
  <si>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</si>
  <si>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</si>
  <si>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</si>
  <si>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</si>
  <si>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</si>
  <si>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</si>
  <si>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</si>
  <si>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</si>
  <si>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</si>
  <si>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</si>
  <si>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</si>
  <si>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</si>
  <si>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</si>
  <si>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</si>
  <si>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</si>
  <si>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</si>
  <si>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</si>
  <si>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</si>
  <si>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</si>
  <si>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</si>
  <si>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</si>
  <si>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</si>
  <si>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</si>
  <si>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</si>
  <si>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</si>
  <si>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</si>
  <si>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</si>
  <si>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</si>
  <si>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</si>
  <si>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</si>
  <si>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</si>
  <si>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</si>
  <si>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</si>
  <si>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</si>
  <si>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</si>
  <si>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</si>
  <si>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</si>
  <si>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</si>
  <si>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</si>
  <si>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</si>
  <si>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</si>
  <si>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</si>
  <si>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</si>
  <si>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</si>
  <si>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</si>
  <si>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</si>
  <si>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</si>
  <si>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</si>
  <si>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</si>
  <si>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</si>
  <si>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</si>
  <si>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</si>
  <si>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</si>
  <si>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</si>
  <si>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</si>
  <si>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</si>
  <si>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</si>
  <si>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</si>
  <si>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</si>
  <si>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</si>
  <si>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</si>
  <si>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</si>
  <si>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</si>
  <si>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</si>
  <si>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</si>
  <si>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</si>
  <si>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</si>
  <si>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</si>
  <si>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</si>
  <si>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</si>
  <si>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</si>
  <si>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</si>
  <si>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</si>
  <si>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</si>
  <si>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</si>
  <si>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</si>
  <si>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</si>
  <si>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</si>
  <si>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</si>
  <si>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</si>
  <si>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</si>
  <si>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</si>
  <si>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</si>
  <si>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</si>
  <si>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</si>
  <si>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</si>
  <si>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</si>
  <si>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</si>
  <si>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</si>
  <si>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</si>
  <si>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</si>
  <si>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</si>
  <si>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</si>
  <si>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</si>
  <si>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</si>
  <si>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</si>
  <si>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</si>
  <si>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</si>
  <si>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</si>
  <si>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</si>
  <si>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</si>
  <si>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</si>
  <si>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</si>
  <si>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</si>
  <si>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</si>
  <si>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</si>
  <si>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</si>
  <si>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</si>
  <si>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</si>
  <si>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</si>
  <si>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</si>
  <si>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</si>
  <si>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</si>
  <si>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</si>
  <si>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</si>
  <si>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</si>
  <si>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</si>
  <si>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</si>
  <si>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</si>
  <si>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</si>
  <si>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</si>
  <si>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</si>
  <si>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</si>
  <si>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</si>
  <si>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</si>
  <si>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</si>
  <si>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</si>
  <si>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</si>
  <si>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</si>
  <si>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</si>
  <si>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</si>
  <si>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</si>
  <si>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</si>
  <si>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</si>
  <si>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</si>
  <si>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</si>
  <si>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</si>
  <si>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</si>
  <si>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</si>
  <si>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</si>
  <si>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</si>
  <si>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</si>
  <si>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</si>
  <si>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</si>
  <si>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</si>
  <si>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</si>
  <si>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</si>
  <si>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</si>
  <si>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</si>
  <si>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</si>
  <si>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</si>
  <si>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</si>
  <si>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</si>
  <si>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</si>
  <si>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</si>
  <si>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</si>
  <si>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</si>
  <si>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</si>
  <si>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</si>
  <si>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</si>
  <si>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</si>
  <si>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</si>
  <si>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</si>
  <si>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</si>
  <si>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</si>
  <si>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</si>
  <si>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</si>
  <si>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</si>
  <si>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</si>
  <si>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</si>
  <si>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</si>
  <si>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</si>
  <si>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</si>
  <si>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</si>
  <si>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</si>
  <si>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</si>
  <si>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</si>
  <si>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</si>
  <si>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</si>
  <si>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</si>
  <si>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</si>
  <si>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</si>
  <si>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</si>
  <si>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</si>
  <si>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</si>
  <si>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</si>
  <si>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</si>
  <si>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</si>
  <si>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</si>
  <si>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</si>
  <si>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</si>
  <si>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</si>
  <si>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</si>
  <si>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</si>
  <si>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</si>
  <si>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</si>
  <si>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</si>
  <si>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</si>
  <si>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</si>
  <si>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</si>
  <si>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</si>
  <si>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</si>
  <si>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</si>
  <si>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</si>
  <si>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</si>
  <si>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</si>
  <si>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</si>
  <si>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</si>
  <si>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</si>
  <si>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</si>
  <si>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</si>
  <si>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</si>
  <si>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</si>
  <si>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</si>
  <si>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</si>
  <si>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</si>
  <si>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</si>
  <si>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</si>
  <si>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</si>
  <si>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</si>
  <si>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</si>
  <si>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</si>
  <si>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</si>
  <si>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</si>
  <si>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</si>
  <si>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</si>
  <si>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</si>
  <si>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</si>
  <si>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</si>
  <si>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</si>
  <si>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</si>
  <si>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</si>
  <si>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</si>
  <si>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</si>
  <si>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</si>
  <si>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</si>
  <si>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</si>
  <si>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</si>
  <si>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</si>
  <si>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</si>
  <si>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</si>
  <si>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</si>
  <si>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</si>
  <si>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</si>
  <si>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</si>
  <si>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</si>
  <si>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</si>
  <si>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</si>
  <si>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</si>
  <si>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</si>
  <si>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</si>
  <si>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</si>
  <si>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</si>
  <si>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</si>
  <si>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</si>
  <si>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</si>
  <si>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</si>
  <si>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</si>
  <si>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</si>
  <si>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</si>
  <si>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</si>
  <si>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</si>
  <si>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</si>
  <si>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</si>
  <si>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</si>
  <si>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</si>
  <si>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</si>
  <si>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</si>
  <si>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</si>
  <si>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</si>
  <si>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</si>
  <si>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</si>
  <si>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</si>
  <si>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</si>
  <si>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</si>
  <si>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</si>
  <si>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</si>
  <si>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</si>
  <si>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</si>
  <si>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</si>
  <si>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</si>
  <si>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</si>
  <si>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</si>
  <si>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</si>
  <si>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</si>
  <si>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</si>
  <si>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</si>
  <si>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</si>
  <si>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</si>
  <si>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</si>
  <si>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</si>
  <si>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</si>
  <si>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</si>
  <si>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</si>
  <si>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</si>
  <si>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</si>
  <si>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</si>
  <si>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</si>
  <si>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</si>
  <si>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</si>
  <si>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</si>
  <si>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</si>
  <si>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</si>
  <si>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</si>
  <si>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</si>
  <si>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</si>
  <si>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</si>
  <si>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</si>
  <si>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</si>
  <si>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</si>
  <si>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</si>
  <si>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</si>
  <si>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</si>
  <si>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</si>
  <si>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</si>
  <si>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</si>
  <si>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</si>
  <si>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</si>
  <si>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</si>
  <si>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</si>
  <si>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</si>
  <si>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</si>
  <si>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</si>
  <si>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</si>
  <si>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</si>
  <si>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</si>
  <si>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</si>
  <si>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</si>
  <si>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</si>
  <si>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</si>
  <si>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</si>
  <si>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</si>
  <si>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</si>
  <si>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</si>
  <si>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</si>
  <si>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</si>
  <si>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</si>
  <si>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</si>
  <si>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</si>
  <si>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</si>
  <si>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</si>
  <si>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</si>
  <si>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</si>
  <si>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</si>
  <si>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</si>
  <si>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</si>
  <si>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</si>
  <si>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</si>
  <si>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</si>
  <si>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</si>
  <si>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</si>
  <si>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</si>
  <si>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</si>
  <si>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</si>
  <si>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</si>
  <si>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</si>
  <si>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</si>
  <si>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</si>
  <si>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</si>
  <si>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</si>
  <si>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</si>
  <si>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</si>
  <si>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</si>
  <si>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</si>
  <si>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</si>
  <si>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</si>
  <si>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</si>
  <si>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</si>
  <si>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</si>
  <si>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</si>
  <si>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</si>
  <si>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</si>
  <si>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</si>
  <si>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</si>
  <si>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</si>
  <si>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</si>
  <si>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</si>
  <si>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</si>
  <si>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</si>
  <si>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</si>
  <si>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</si>
  <si>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</si>
  <si>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</si>
  <si>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</si>
  <si>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</si>
  <si>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</si>
  <si>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</si>
  <si>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</si>
  <si>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</si>
  <si>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</si>
  <si>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</si>
  <si>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</si>
  <si>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</si>
  <si>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</si>
  <si>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</si>
  <si>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</si>
  <si>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</si>
  <si>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</si>
  <si>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</si>
  <si>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</si>
  <si>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</si>
  <si>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</si>
  <si>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</si>
  <si>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</si>
  <si>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</si>
  <si>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</si>
  <si>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</si>
  <si>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</si>
  <si>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</si>
  <si>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</si>
  <si>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</si>
  <si>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</si>
  <si>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</si>
  <si>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</si>
  <si>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</si>
  <si>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</si>
  <si>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</si>
  <si>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</si>
  <si>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</si>
  <si>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</si>
  <si>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</si>
  <si>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</si>
  <si>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</si>
  <si>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</si>
  <si>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</si>
  <si>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</si>
  <si>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</si>
  <si>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</si>
  <si>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</si>
  <si>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</si>
  <si>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</si>
  <si>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</si>
  <si>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</si>
  <si>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</si>
  <si>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</si>
  <si>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</si>
  <si>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</si>
  <si>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</si>
  <si>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</si>
  <si>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</si>
  <si>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</si>
  <si>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</si>
  <si>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</si>
  <si>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</si>
  <si>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</si>
  <si>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</si>
  <si>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</si>
  <si>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</si>
  <si>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</si>
  <si>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</si>
  <si>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</si>
  <si>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</si>
  <si>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</si>
  <si>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</si>
  <si>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</si>
  <si>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</si>
  <si>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</si>
  <si>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</si>
  <si>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</si>
  <si>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</si>
  <si>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</si>
  <si>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</si>
  <si>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</si>
  <si>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</si>
  <si>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</si>
  <si>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</si>
  <si>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</si>
  <si>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</si>
  <si>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</si>
  <si>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</si>
  <si>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</si>
  <si>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</si>
  <si>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</si>
  <si>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</si>
  <si>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</si>
  <si>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</si>
  <si>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</si>
  <si>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</si>
  <si>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</si>
  <si>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</si>
  <si>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</si>
  <si>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</si>
  <si>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</si>
  <si>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</si>
  <si>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</si>
  <si>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</si>
  <si>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</si>
  <si>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</si>
  <si>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</si>
  <si>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</si>
  <si>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</si>
  <si>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</si>
  <si>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</si>
  <si>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</si>
  <si>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</si>
  <si>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</si>
  <si>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</si>
  <si>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</si>
  <si>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</si>
  <si>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</si>
  <si>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</si>
  <si>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</si>
  <si>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</si>
  <si>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</si>
  <si>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</si>
  <si>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</si>
  <si>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</si>
  <si>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</si>
  <si>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</si>
  <si>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</si>
  <si>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</si>
  <si>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</si>
  <si>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</si>
  <si>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</si>
  <si>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</si>
  <si>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</si>
  <si>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</si>
  <si>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</si>
  <si>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</si>
  <si>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</si>
  <si>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</si>
  <si>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</si>
  <si>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</si>
  <si>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</si>
  <si>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</si>
  <si>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</si>
  <si>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</si>
  <si>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</si>
  <si>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</si>
  <si>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</si>
  <si>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</si>
  <si>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</si>
  <si>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</si>
  <si>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</si>
  <si>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</si>
  <si>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</si>
  <si>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</si>
  <si>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</si>
  <si>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</si>
  <si>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</si>
  <si>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</si>
  <si>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</si>
  <si>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</si>
  <si>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</si>
  <si>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</si>
  <si>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</si>
  <si>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</si>
  <si>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</si>
  <si>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</si>
  <si>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</si>
  <si>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</si>
  <si>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</si>
  <si>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</si>
  <si>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</si>
  <si>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</si>
  <si>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</si>
  <si>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</si>
  <si>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</si>
  <si>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</si>
  <si>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</si>
  <si>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</si>
  <si>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</si>
  <si>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</si>
  <si>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</si>
  <si>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</si>
  <si>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</si>
  <si>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</si>
  <si>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</si>
  <si>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</si>
  <si>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</si>
  <si>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</si>
  <si>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</si>
  <si>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</si>
  <si>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</si>
  <si>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</si>
  <si>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</si>
  <si>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</si>
  <si>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</si>
  <si>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</si>
  <si>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</si>
  <si>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</si>
  <si>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</si>
  <si>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</si>
  <si>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</si>
  <si>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</si>
  <si>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</si>
  <si>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</si>
  <si>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</si>
  <si>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</si>
  <si>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</si>
  <si>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</si>
  <si>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</si>
  <si>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</si>
  <si>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</si>
  <si>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</si>
  <si>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</si>
  <si>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</si>
  <si>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</si>
  <si>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</si>
  <si>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</si>
  <si>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</si>
  <si>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</si>
  <si>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</si>
  <si>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</si>
  <si>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</si>
  <si>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</si>
  <si>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</si>
  <si>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</si>
  <si>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</si>
  <si>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</si>
  <si>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</si>
  <si>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</si>
  <si>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</si>
  <si>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</si>
  <si>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</si>
  <si>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</si>
  <si>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</si>
  <si>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</si>
  <si>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</si>
  <si>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</si>
  <si>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</si>
  <si>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</si>
  <si>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</si>
  <si>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</si>
  <si>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</si>
  <si>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</si>
  <si>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</si>
  <si>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</si>
  <si>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</si>
  <si>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</si>
  <si>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</si>
  <si>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</si>
  <si>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</si>
  <si>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</si>
  <si>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</si>
  <si>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</si>
  <si>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</si>
  <si>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</si>
  <si>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</si>
  <si>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</si>
  <si>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</si>
  <si>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</si>
  <si>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</si>
  <si>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</si>
  <si>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</si>
  <si>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</si>
  <si>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</si>
  <si>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</si>
  <si>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</si>
  <si>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</si>
  <si>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</si>
  <si>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</si>
  <si>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</si>
  <si>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</si>
  <si>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</si>
  <si>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</si>
  <si>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</si>
  <si>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</si>
  <si>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</si>
  <si>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</si>
  <si>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</si>
  <si>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</si>
  <si>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</si>
  <si>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</si>
  <si>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</si>
  <si>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</si>
  <si>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</si>
  <si>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</si>
  <si>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</si>
  <si>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</si>
  <si>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</si>
  <si>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</si>
  <si>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</si>
  <si>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</si>
  <si>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</si>
  <si>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</si>
  <si>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</si>
  <si>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</si>
  <si>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</si>
  <si>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</si>
  <si>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</si>
  <si>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</si>
  <si>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</si>
  <si>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</si>
  <si>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</si>
  <si>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</si>
  <si>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</si>
  <si>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</si>
  <si>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</si>
  <si>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</si>
  <si>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</si>
  <si>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</si>
  <si>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</si>
  <si>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</si>
  <si>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</si>
  <si>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</si>
  <si>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</si>
  <si>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</si>
  <si>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</si>
  <si>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</si>
  <si>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</si>
  <si>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</si>
  <si>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</si>
  <si>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</si>
  <si>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</si>
  <si>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</si>
  <si>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</si>
  <si>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</si>
  <si>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</si>
  <si>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</si>
  <si>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</si>
  <si>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</si>
  <si>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</si>
  <si>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</si>
  <si>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</si>
  <si>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</si>
  <si>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</si>
  <si>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</si>
  <si>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</si>
  <si>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</si>
  <si>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</si>
  <si>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</si>
  <si>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</si>
  <si>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</si>
  <si>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</si>
  <si>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</si>
  <si>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</si>
  <si>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</si>
  <si>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</si>
  <si>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</si>
  <si>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</si>
  <si>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</si>
  <si>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</si>
  <si>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</si>
  <si>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</si>
  <si>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</si>
  <si>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</si>
  <si>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</si>
  <si>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</si>
  <si>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</si>
  <si>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</si>
  <si>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</si>
  <si>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</si>
  <si>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</si>
  <si>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</si>
  <si>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</si>
  <si>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</si>
  <si>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</si>
  <si>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</si>
  <si>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</si>
  <si>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</si>
  <si>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</si>
  <si>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</si>
  <si>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</si>
  <si>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</si>
  <si>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</si>
  <si>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</si>
  <si>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</si>
  <si>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</si>
  <si>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</si>
  <si>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</si>
  <si>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</si>
  <si>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</si>
  <si>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</si>
  <si>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</si>
  <si>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</si>
  <si>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</si>
  <si>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</si>
  <si>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</si>
  <si>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</si>
  <si>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</si>
  <si>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</si>
  <si>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</si>
  <si>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</si>
  <si>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</si>
  <si>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</si>
  <si>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</si>
  <si>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</si>
  <si>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</si>
  <si>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</si>
  <si>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</si>
  <si>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</si>
  <si>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</si>
  <si>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</si>
  <si>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</si>
  <si>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</si>
  <si>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</si>
  <si>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</si>
  <si>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</si>
  <si>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</si>
  <si>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</si>
  <si>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</si>
  <si>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</si>
  <si>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</si>
  <si>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</si>
  <si>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</si>
  <si>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</si>
  <si>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</si>
  <si>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</si>
  <si>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</si>
  <si>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</si>
  <si>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</si>
  <si>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</si>
  <si>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</si>
  <si>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</si>
  <si>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</si>
  <si>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</si>
  <si>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</si>
  <si>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</si>
  <si>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</si>
  <si>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</si>
  <si>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</si>
  <si>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</si>
  <si>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</si>
  <si>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</si>
  <si>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</si>
  <si>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</si>
  <si>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</si>
  <si>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نماد</t>
  </si>
  <si>
    <t>حساب مریم</t>
  </si>
  <si>
    <t>ارزش کل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</si>
  <si>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</si>
  <si>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</si>
  <si>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</si>
  <si>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</si>
  <si>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</si>
  <si>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</si>
  <si>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</si>
  <si>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</si>
  <si>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</si>
  <si>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</si>
  <si>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</si>
  <si>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</si>
  <si>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</si>
  <si>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</si>
  <si>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</si>
  <si>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</si>
  <si>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</si>
  <si>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</si>
  <si>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</si>
  <si>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</si>
  <si>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</si>
  <si>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</si>
  <si>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</si>
  <si>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</si>
  <si>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</si>
  <si>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</si>
  <si>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</si>
  <si>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</si>
  <si>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</si>
  <si>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</si>
  <si>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</si>
  <si>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</si>
  <si>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</si>
  <si>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</si>
  <si>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</si>
  <si>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</si>
  <si>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</si>
  <si>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</si>
  <si>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</si>
  <si>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</si>
  <si>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</si>
  <si>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</si>
  <si>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</si>
  <si>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</si>
  <si>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</si>
  <si>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</si>
  <si>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</si>
  <si>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</si>
  <si>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</si>
  <si>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</si>
  <si>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</si>
  <si>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</si>
  <si>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</si>
  <si>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</si>
  <si>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</si>
  <si>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</si>
  <si>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</si>
  <si>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</si>
  <si>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</si>
  <si>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</si>
  <si>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</si>
  <si>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</si>
  <si>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</si>
  <si>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</si>
  <si>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</si>
  <si>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</si>
  <si>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</si>
  <si>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</si>
  <si>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</si>
  <si>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</si>
  <si>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</si>
  <si>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</si>
  <si>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</si>
  <si>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</si>
  <si>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</si>
  <si>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</si>
  <si>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</si>
  <si>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</si>
  <si>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</si>
  <si>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</si>
  <si>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</si>
  <si>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</si>
  <si>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</si>
  <si>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</si>
  <si>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</si>
  <si>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</si>
  <si>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</si>
  <si>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</si>
  <si>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</si>
  <si>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</si>
  <si>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</si>
  <si>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</si>
  <si>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</si>
  <si>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</si>
  <si>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</si>
  <si>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</si>
  <si>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</si>
  <si>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</si>
  <si>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</si>
  <si>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</si>
  <si>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</si>
  <si>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</si>
  <si>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</si>
  <si>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</si>
  <si>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</si>
  <si>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</si>
  <si>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</si>
  <si>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</si>
  <si>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</si>
  <si>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</si>
  <si>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</si>
  <si>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</si>
  <si>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</si>
  <si>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</si>
  <si>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</si>
  <si>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قیمت خرید بیضرر سکه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</si>
  <si>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</si>
  <si>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</si>
  <si>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</si>
  <si>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</si>
  <si>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</si>
  <si>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</si>
  <si>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</si>
  <si>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</si>
  <si>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</si>
  <si>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</si>
  <si>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</si>
  <si>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</si>
  <si>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</si>
  <si>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</si>
  <si>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</si>
  <si>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</si>
  <si>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</si>
  <si>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</si>
  <si>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</si>
  <si>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</si>
  <si>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اگر زاگرس 5320 یا شاراک 427 یا وبانک 282 بود بخر</t>
  </si>
  <si>
    <t>حساب علی و مریم</t>
  </si>
  <si>
    <t>وبانک 313</t>
  </si>
  <si>
    <t>زاگرس 5808</t>
  </si>
  <si>
    <t>وغدیر 202.1</t>
  </si>
  <si>
    <t>زاگرس 5560</t>
  </si>
  <si>
    <t>شاراک 441.8</t>
  </si>
  <si>
    <t>وبانک 292.6</t>
  </si>
  <si>
    <t>کگهر 680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</si>
  <si>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</si>
  <si>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</si>
  <si>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</si>
  <si>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</si>
  <si>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</si>
  <si>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</si>
  <si>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</si>
  <si>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</si>
  <si>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</si>
  <si>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</si>
  <si>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</si>
  <si>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</si>
  <si>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</si>
  <si>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</si>
  <si>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</si>
  <si>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</si>
  <si>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</si>
  <si>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</si>
  <si>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</si>
  <si>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 به رضا که به مهدی بدهکارم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</si>
  <si>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</si>
  <si>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</si>
  <si>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</si>
  <si>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</si>
  <si>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</si>
  <si>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</si>
  <si>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</si>
  <si>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</si>
  <si>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وغدیر 196.2</t>
  </si>
  <si>
    <t>فروش سهام شفن مریم</t>
  </si>
  <si>
    <t>وتوسم 189.9</t>
  </si>
  <si>
    <t>بدهی به مهدی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</si>
  <si>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</si>
  <si>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</si>
  <si>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</si>
  <si>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</si>
  <si>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</si>
  <si>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</si>
  <si>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</si>
  <si>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وتوسم 188.1</t>
  </si>
  <si>
    <t>هدف خرید</t>
  </si>
  <si>
    <t>از سهام خودت در حساب داریوش بفروش و از داریوش پول بگیر</t>
  </si>
  <si>
    <t>دستی به مریم 2/9</t>
  </si>
  <si>
    <t>30/9/1397</t>
  </si>
  <si>
    <t>سود آبان 97</t>
  </si>
  <si>
    <t>سهم علی از کگهر حساب علی 3/9</t>
  </si>
  <si>
    <t>سهم علی کگهر حساب مریم 3/9</t>
  </si>
  <si>
    <t>سهم علی کگهر حساب سارا 3/9</t>
  </si>
  <si>
    <t>طلب سارا بابت کگهر 3/9</t>
  </si>
  <si>
    <t>3/9/1397</t>
  </si>
  <si>
    <t>وغدیر 9705 تا 184.6 که 2715 تا حساب مریم و 6990 حساب داریوش</t>
  </si>
  <si>
    <t>وغدیر 5664 تا 184.5 که در حساب داریوش فروش گذاشته ام</t>
  </si>
  <si>
    <t>وغدیر 7012 تا 192.2 که در حساب داریوش سفارش فروش گذاشته ام</t>
  </si>
  <si>
    <t>نوسانگیری 600 تا وتوسم حساب علی 3/9</t>
  </si>
  <si>
    <t>وتوسم 3429 تا 184.2 که باید از 1876 به 1897 تبدیل شود</t>
  </si>
  <si>
    <t>وغدیر 5661 تا 184.6 حساب سارا</t>
  </si>
  <si>
    <t>وتوسم 4060 تا 183.1 حساب سارا که باید از 187.6 به 188.6 تبدیل شود</t>
  </si>
  <si>
    <t>وغدیر سارا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</si>
</sst>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22" workbookViewId="0">
      <selection activeCell="D43" sqref="D43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4502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4518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3895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4341</v>
      </c>
      <c r="B4" s="18">
        <v>0</v>
      </c>
      <c r="C4" s="18">
        <v>0</v>
      </c>
      <c r="D4" s="113">
        <f t="shared" si="0"/>
        <v>0</v>
      </c>
      <c r="E4" s="99" t="s">
        <v>4354</v>
      </c>
      <c r="F4" s="96">
        <v>24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4341</v>
      </c>
      <c r="B5" s="18">
        <v>0</v>
      </c>
      <c r="C5" s="18">
        <v>0</v>
      </c>
      <c r="D5" s="113">
        <f t="shared" si="0"/>
        <v>0</v>
      </c>
      <c r="E5" s="20" t="s">
        <v>4357</v>
      </c>
      <c r="F5" s="96">
        <v>23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4365</v>
      </c>
      <c r="B6" s="18">
        <v>0</v>
      </c>
      <c r="C6" s="18">
        <v>0</v>
      </c>
      <c r="D6" s="113">
        <f t="shared" si="0"/>
        <v>0</v>
      </c>
      <c r="E6" s="19" t="s">
        <v>4366</v>
      </c>
      <c r="F6" s="96">
        <v>21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4365</v>
      </c>
      <c r="B7" s="18">
        <v>0</v>
      </c>
      <c r="C7" s="18">
        <v>0</v>
      </c>
      <c r="D7" s="113">
        <f t="shared" si="0"/>
        <v>0</v>
      </c>
      <c r="E7" s="19" t="s">
        <v>4367</v>
      </c>
      <c r="F7" s="96">
        <v>21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4365</v>
      </c>
      <c r="B8" s="18">
        <v>0</v>
      </c>
      <c r="C8" s="18">
        <v>0</v>
      </c>
      <c r="D8" s="113">
        <f t="shared" si="0"/>
        <v>0</v>
      </c>
      <c r="E8" s="19" t="s">
        <v>4368</v>
      </c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4372</v>
      </c>
      <c r="B9" s="18">
        <v>0</v>
      </c>
      <c r="C9" s="18">
        <v>0</v>
      </c>
      <c r="D9" s="113">
        <f t="shared" si="0"/>
        <v>0</v>
      </c>
      <c r="E9" s="21" t="s">
        <v>4373</v>
      </c>
      <c r="F9" s="96">
        <v>22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4386</v>
      </c>
      <c r="B10" s="18">
        <v>0</v>
      </c>
      <c r="C10" s="18">
        <v>0</v>
      </c>
      <c r="D10" s="113">
        <f t="shared" si="0"/>
        <v>0</v>
      </c>
      <c r="E10" s="19" t="s">
        <v>3895</v>
      </c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4386</v>
      </c>
      <c r="B11" s="18">
        <v>0</v>
      </c>
      <c r="C11" s="18">
        <v>0</v>
      </c>
      <c r="D11" s="113">
        <f t="shared" si="0"/>
        <v>0</v>
      </c>
      <c r="E11" s="19" t="s">
        <v>4395</v>
      </c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4387</v>
      </c>
      <c r="B12" s="18">
        <v>0</v>
      </c>
      <c r="C12" s="18">
        <v>0</v>
      </c>
      <c r="D12" s="113">
        <f t="shared" si="0"/>
        <v>0</v>
      </c>
      <c r="E12" s="20" t="s">
        <v>4395</v>
      </c>
      <c r="F12" s="96">
        <v>16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4387</v>
      </c>
      <c r="B13" s="18">
        <v>0</v>
      </c>
      <c r="C13" s="18">
        <v>0</v>
      </c>
      <c r="D13" s="113">
        <f t="shared" si="0"/>
        <v>0</v>
      </c>
      <c r="E13" s="20" t="s">
        <v>4276</v>
      </c>
      <c r="F13" s="96">
        <v>16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4410</v>
      </c>
      <c r="B14" s="18">
        <v>0</v>
      </c>
      <c r="C14" s="18">
        <v>0</v>
      </c>
      <c r="D14" s="113">
        <f t="shared" si="0"/>
        <v>0</v>
      </c>
      <c r="E14" s="20" t="s">
        <v>4411</v>
      </c>
      <c r="F14" s="96">
        <v>15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4413</v>
      </c>
      <c r="B15" s="18">
        <v>0</v>
      </c>
      <c r="C15" s="18">
        <v>0</v>
      </c>
      <c r="D15" s="117">
        <f t="shared" si="0"/>
        <v>0</v>
      </c>
      <c r="E15" s="20" t="s">
        <v>4395</v>
      </c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4420</v>
      </c>
      <c r="B16" s="18">
        <v>0</v>
      </c>
      <c r="C16" s="18">
        <v>0</v>
      </c>
      <c r="D16" s="113">
        <f t="shared" si="0"/>
        <v>0</v>
      </c>
      <c r="E16" s="20" t="s">
        <v>4162</v>
      </c>
      <c r="F16" s="96">
        <v>12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4440</v>
      </c>
      <c r="B17" s="18">
        <v>0</v>
      </c>
      <c r="C17" s="18">
        <v>0</v>
      </c>
      <c r="D17" s="113">
        <f t="shared" si="0"/>
        <v>0</v>
      </c>
      <c r="E17" s="20" t="s">
        <v>3895</v>
      </c>
      <c r="F17" s="96">
        <v>7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4451</v>
      </c>
      <c r="B18" s="18">
        <v>0</v>
      </c>
      <c r="C18" s="18">
        <v>0</v>
      </c>
      <c r="D18" s="113">
        <f t="shared" si="0"/>
        <v>0</v>
      </c>
      <c r="E18" s="20" t="s">
        <v>4450</v>
      </c>
      <c r="F18" s="96">
        <v>5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4451</v>
      </c>
      <c r="B19" s="18">
        <v>0</v>
      </c>
      <c r="C19" s="18">
        <v>0</v>
      </c>
      <c r="D19" s="113">
        <f t="shared" si="0"/>
        <v>0</v>
      </c>
      <c r="E19" s="20" t="s">
        <v>4276</v>
      </c>
      <c r="F19" s="96">
        <v>5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4451</v>
      </c>
      <c r="B20" s="18">
        <v>0</v>
      </c>
      <c r="C20" s="18">
        <v>0</v>
      </c>
      <c r="D20" s="113">
        <f t="shared" si="0"/>
        <v>0</v>
      </c>
      <c r="E20" s="19" t="s">
        <v>3773</v>
      </c>
      <c r="F20" s="96">
        <v>5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4447</v>
      </c>
      <c r="B21" s="18">
        <v>0</v>
      </c>
      <c r="C21" s="18">
        <v>0</v>
      </c>
      <c r="D21" s="113">
        <f t="shared" si="0"/>
        <v>0</v>
      </c>
      <c r="E21" s="19" t="s">
        <v>4448</v>
      </c>
      <c r="F21" s="96">
        <v>6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2516094</v>
      </c>
      <c r="C27" s="113">
        <f>SUM(C2:C26)</f>
        <v>8034286</v>
      </c>
      <c r="D27" s="113">
        <f>SUM(D2:D26)</f>
        <v>-5518192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67982820</v>
      </c>
      <c r="H28" s="18">
        <f>SUM(H2:H26)</f>
        <v>241028580</v>
      </c>
      <c r="I28" s="18">
        <f>SUM(I2:I26)</f>
        <v>-173045760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-54623926</v>
      </c>
      <c r="E33" s="41" t="s">
        <v>95</v>
      </c>
      <c r="F33" s="96"/>
      <c r="G33" s="18">
        <v>600</v>
      </c>
      <c r="H33" s="18">
        <f>G33*H28/G28</f>
        <v>2127.2602107414787</v>
      </c>
      <c r="I33" s="18">
        <f>G33*I28/G28</f>
        <v>-1527.2602107414784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114">
        <v>-50000</v>
      </c>
      <c r="E34" s="54" t="s">
        <v>4511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-373979</v>
      </c>
      <c r="E35" s="54" t="s">
        <v>4514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-186988</v>
      </c>
      <c r="E36" s="54" t="s">
        <v>4515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-93494</v>
      </c>
      <c r="E37" s="54" t="s">
        <v>4516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-880</v>
      </c>
      <c r="E38" s="54" t="s">
        <v>4522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-2500000</v>
      </c>
      <c r="E39" s="54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/>
      <c r="E40" s="54"/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/>
      <c r="E41" s="54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/>
      <c r="E42" s="54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/>
      <c r="E48" s="54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/>
      <c r="E49" s="54"/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 t="s">
        <v>25</v>
      </c>
      <c r="E50" s="54" t="s">
        <v>25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54" t="s">
        <v>25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f>SUM(D33:D51)</f>
        <v>-57829267</v>
      </c>
      <c r="E52" s="96" t="s">
        <v>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/>
      <c r="E53" s="41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96"/>
      <c r="E57" s="96" t="s">
        <v>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2" sqref="F24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959</v>
      </c>
      <c r="H2" s="36">
        <f>IF(B2&gt;0,1,0)</f>
        <v>1</v>
      </c>
      <c r="I2" s="11">
        <f>B2*(G2-H2)</f>
        <v>15998600</v>
      </c>
      <c r="J2" s="53">
        <f>C2*(G2-H2)</f>
        <v>15998600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958</v>
      </c>
      <c r="H3" s="36">
        <f t="shared" ref="H3:H66" si="2">IF(B3&gt;0,1,0)</f>
        <v>1</v>
      </c>
      <c r="I3" s="11">
        <f t="shared" ref="I3:I66" si="3">B3*(G3-H3)</f>
        <v>19044300000</v>
      </c>
      <c r="J3" s="53">
        <f t="shared" ref="J3:J66" si="4">C3*(G3-H3)</f>
        <v>10897359000</v>
      </c>
      <c r="K3" s="53">
        <f t="shared" ref="K3:K66" si="5">D3*(G3-H3)</f>
        <v>8146941000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958</v>
      </c>
      <c r="H4" s="36">
        <f t="shared" si="2"/>
        <v>0</v>
      </c>
      <c r="I4" s="11">
        <f t="shared" si="3"/>
        <v>0</v>
      </c>
      <c r="J4" s="53">
        <f t="shared" si="4"/>
        <v>8143000</v>
      </c>
      <c r="K4" s="53">
        <f t="shared" si="5"/>
        <v>-8143000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956</v>
      </c>
      <c r="H5" s="36">
        <f t="shared" si="2"/>
        <v>1</v>
      </c>
      <c r="I5" s="11">
        <f t="shared" si="3"/>
        <v>1910000000</v>
      </c>
      <c r="J5" s="53">
        <f t="shared" si="4"/>
        <v>0</v>
      </c>
      <c r="K5" s="53">
        <f t="shared" si="5"/>
        <v>1910000000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949</v>
      </c>
      <c r="H6" s="36">
        <f t="shared" si="2"/>
        <v>0</v>
      </c>
      <c r="I6" s="11">
        <f t="shared" si="3"/>
        <v>-4745000</v>
      </c>
      <c r="J6" s="53">
        <f t="shared" si="4"/>
        <v>0</v>
      </c>
      <c r="K6" s="53">
        <f t="shared" si="5"/>
        <v>-4745000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945</v>
      </c>
      <c r="H7" s="36">
        <f t="shared" si="2"/>
        <v>0</v>
      </c>
      <c r="I7" s="11">
        <f t="shared" si="3"/>
        <v>-1134472500</v>
      </c>
      <c r="J7" s="53">
        <f t="shared" si="4"/>
        <v>0</v>
      </c>
      <c r="K7" s="53">
        <f t="shared" si="5"/>
        <v>-1134472500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944</v>
      </c>
      <c r="H8" s="36">
        <f t="shared" si="2"/>
        <v>0</v>
      </c>
      <c r="I8" s="11">
        <f t="shared" si="3"/>
        <v>-188800000</v>
      </c>
      <c r="J8" s="53">
        <f t="shared" si="4"/>
        <v>0</v>
      </c>
      <c r="K8" s="53">
        <f t="shared" si="5"/>
        <v>-188800000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942</v>
      </c>
      <c r="H9" s="36">
        <f t="shared" si="2"/>
        <v>0</v>
      </c>
      <c r="I9" s="11">
        <f t="shared" si="3"/>
        <v>-664581000</v>
      </c>
      <c r="J9" s="53">
        <f t="shared" si="4"/>
        <v>0</v>
      </c>
      <c r="K9" s="53">
        <f t="shared" si="5"/>
        <v>-664581000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933</v>
      </c>
      <c r="H10" s="36">
        <f t="shared" si="2"/>
        <v>0</v>
      </c>
      <c r="I10" s="11">
        <f t="shared" si="3"/>
        <v>-186600000</v>
      </c>
      <c r="J10" s="53">
        <f t="shared" si="4"/>
        <v>0</v>
      </c>
      <c r="K10" s="53">
        <f t="shared" si="5"/>
        <v>-186600000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933</v>
      </c>
      <c r="H11" s="36">
        <f t="shared" si="2"/>
        <v>1</v>
      </c>
      <c r="I11" s="11">
        <f t="shared" si="3"/>
        <v>932000000</v>
      </c>
      <c r="J11" s="53">
        <f t="shared" si="4"/>
        <v>0</v>
      </c>
      <c r="K11" s="53">
        <f t="shared" si="5"/>
        <v>932000000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929</v>
      </c>
      <c r="H12" s="36">
        <f t="shared" si="2"/>
        <v>0</v>
      </c>
      <c r="I12" s="11">
        <f t="shared" si="3"/>
        <v>-278700000</v>
      </c>
      <c r="J12" s="53">
        <f t="shared" si="4"/>
        <v>0</v>
      </c>
      <c r="K12" s="53">
        <f t="shared" si="5"/>
        <v>-278700000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924</v>
      </c>
      <c r="H13" s="36">
        <f t="shared" si="2"/>
        <v>0</v>
      </c>
      <c r="I13" s="11">
        <f t="shared" si="3"/>
        <v>-57288000</v>
      </c>
      <c r="J13" s="53">
        <f t="shared" si="4"/>
        <v>0</v>
      </c>
      <c r="K13" s="53">
        <f t="shared" si="5"/>
        <v>-57288000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924</v>
      </c>
      <c r="H14" s="36">
        <f t="shared" si="2"/>
        <v>1</v>
      </c>
      <c r="I14" s="11">
        <f t="shared" si="3"/>
        <v>1846000000</v>
      </c>
      <c r="J14" s="53">
        <f t="shared" si="4"/>
        <v>0</v>
      </c>
      <c r="K14" s="53">
        <f t="shared" si="5"/>
        <v>1846000000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923</v>
      </c>
      <c r="H15" s="36">
        <f t="shared" si="2"/>
        <v>1</v>
      </c>
      <c r="I15" s="11">
        <f t="shared" si="3"/>
        <v>1659600000</v>
      </c>
      <c r="J15" s="53">
        <f t="shared" si="4"/>
        <v>0</v>
      </c>
      <c r="K15" s="53">
        <f t="shared" si="5"/>
        <v>1659600000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923</v>
      </c>
      <c r="H16" s="36">
        <f t="shared" si="2"/>
        <v>0</v>
      </c>
      <c r="I16" s="11">
        <f t="shared" si="3"/>
        <v>-184600000</v>
      </c>
      <c r="J16" s="53">
        <f t="shared" si="4"/>
        <v>0</v>
      </c>
      <c r="K16" s="53">
        <f t="shared" si="5"/>
        <v>-184600000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919</v>
      </c>
      <c r="H17" s="36">
        <f t="shared" si="2"/>
        <v>0</v>
      </c>
      <c r="I17" s="11">
        <f t="shared" si="3"/>
        <v>-1838000000</v>
      </c>
      <c r="J17" s="53">
        <f t="shared" si="4"/>
        <v>0</v>
      </c>
      <c r="K17" s="53">
        <f t="shared" si="5"/>
        <v>-1838000000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918</v>
      </c>
      <c r="H18" s="36">
        <f t="shared" si="2"/>
        <v>0</v>
      </c>
      <c r="I18" s="11">
        <f t="shared" si="3"/>
        <v>-275400000</v>
      </c>
      <c r="J18" s="53">
        <f t="shared" si="4"/>
        <v>0</v>
      </c>
      <c r="K18" s="53">
        <f t="shared" si="5"/>
        <v>-275400000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917</v>
      </c>
      <c r="H19" s="36">
        <f t="shared" si="2"/>
        <v>0</v>
      </c>
      <c r="I19" s="11">
        <f t="shared" si="3"/>
        <v>-183400000</v>
      </c>
      <c r="J19" s="53">
        <f t="shared" si="4"/>
        <v>0</v>
      </c>
      <c r="K19" s="53">
        <f t="shared" si="5"/>
        <v>-183400000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915</v>
      </c>
      <c r="H20" s="36">
        <f t="shared" si="2"/>
        <v>1</v>
      </c>
      <c r="I20" s="11">
        <f t="shared" si="3"/>
        <v>247775346</v>
      </c>
      <c r="J20" s="53">
        <f t="shared" si="4"/>
        <v>134771128</v>
      </c>
      <c r="K20" s="53">
        <f t="shared" si="5"/>
        <v>113004218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913</v>
      </c>
      <c r="H21" s="36">
        <f t="shared" si="2"/>
        <v>0</v>
      </c>
      <c r="I21" s="11">
        <f t="shared" si="3"/>
        <v>-1374704100</v>
      </c>
      <c r="J21" s="53">
        <f t="shared" si="4"/>
        <v>0</v>
      </c>
      <c r="K21" s="53">
        <f t="shared" si="5"/>
        <v>-1374704100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910</v>
      </c>
      <c r="H22" s="36">
        <f t="shared" si="2"/>
        <v>1</v>
      </c>
      <c r="I22" s="11">
        <f t="shared" si="3"/>
        <v>2727000000</v>
      </c>
      <c r="J22" s="53">
        <f t="shared" si="4"/>
        <v>0</v>
      </c>
      <c r="K22" s="53">
        <f t="shared" si="5"/>
        <v>2727000000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909</v>
      </c>
      <c r="H23" s="36">
        <f t="shared" si="2"/>
        <v>1</v>
      </c>
      <c r="I23" s="11">
        <f t="shared" si="3"/>
        <v>908000000</v>
      </c>
      <c r="J23" s="53">
        <f t="shared" si="4"/>
        <v>0</v>
      </c>
      <c r="K23" s="53">
        <f t="shared" si="5"/>
        <v>908000000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908</v>
      </c>
      <c r="H24" s="36">
        <f t="shared" si="2"/>
        <v>0</v>
      </c>
      <c r="I24" s="11">
        <f t="shared" si="3"/>
        <v>-2724817200</v>
      </c>
      <c r="J24" s="53">
        <f t="shared" si="4"/>
        <v>0</v>
      </c>
      <c r="K24" s="53">
        <f t="shared" si="5"/>
        <v>-2724817200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893</v>
      </c>
      <c r="H25" s="36">
        <f t="shared" si="2"/>
        <v>1</v>
      </c>
      <c r="I25" s="11">
        <f t="shared" si="3"/>
        <v>1338000000</v>
      </c>
      <c r="J25" s="53">
        <f t="shared" si="4"/>
        <v>0</v>
      </c>
      <c r="K25" s="53">
        <f t="shared" si="5"/>
        <v>1338000000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885</v>
      </c>
      <c r="H26" s="36">
        <f t="shared" si="2"/>
        <v>0</v>
      </c>
      <c r="I26" s="11">
        <f t="shared" si="3"/>
        <v>-145140000</v>
      </c>
      <c r="J26" s="53">
        <f t="shared" si="4"/>
        <v>0</v>
      </c>
      <c r="K26" s="53">
        <f t="shared" si="5"/>
        <v>-145140000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884</v>
      </c>
      <c r="H27" s="36">
        <f t="shared" si="2"/>
        <v>1</v>
      </c>
      <c r="I27" s="11">
        <f t="shared" si="3"/>
        <v>176064019</v>
      </c>
      <c r="J27" s="53">
        <f t="shared" si="4"/>
        <v>94845679</v>
      </c>
      <c r="K27" s="53">
        <f t="shared" si="5"/>
        <v>81218340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882</v>
      </c>
      <c r="H28" s="36">
        <f t="shared" si="2"/>
        <v>0</v>
      </c>
      <c r="I28" s="11">
        <f t="shared" si="3"/>
        <v>-194922000</v>
      </c>
      <c r="J28" s="53">
        <f t="shared" si="4"/>
        <v>-194922000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882</v>
      </c>
      <c r="H29" s="36">
        <f t="shared" si="2"/>
        <v>0</v>
      </c>
      <c r="I29" s="11">
        <f t="shared" si="3"/>
        <v>-441441000</v>
      </c>
      <c r="J29" s="53">
        <f t="shared" si="4"/>
        <v>0</v>
      </c>
      <c r="K29" s="53">
        <f t="shared" si="5"/>
        <v>-441441000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882</v>
      </c>
      <c r="H30" s="36">
        <f t="shared" si="2"/>
        <v>0</v>
      </c>
      <c r="I30" s="11">
        <f t="shared" si="3"/>
        <v>-13230000000</v>
      </c>
      <c r="J30" s="53">
        <f t="shared" si="4"/>
        <v>-13230000000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865</v>
      </c>
      <c r="H31" s="36">
        <f t="shared" si="2"/>
        <v>0</v>
      </c>
      <c r="I31" s="11">
        <f t="shared" si="3"/>
        <v>-2604428500</v>
      </c>
      <c r="J31" s="53">
        <f t="shared" si="4"/>
        <v>0</v>
      </c>
      <c r="K31" s="53">
        <f t="shared" si="5"/>
        <v>-2604428500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863</v>
      </c>
      <c r="H32" s="36">
        <f t="shared" si="2"/>
        <v>0</v>
      </c>
      <c r="I32" s="11">
        <f t="shared" si="3"/>
        <v>-2594091700</v>
      </c>
      <c r="J32" s="53">
        <f t="shared" si="4"/>
        <v>0</v>
      </c>
      <c r="K32" s="53">
        <f t="shared" si="5"/>
        <v>-2594091700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862</v>
      </c>
      <c r="H33" s="36">
        <f t="shared" si="2"/>
        <v>0</v>
      </c>
      <c r="I33" s="11">
        <f t="shared" si="3"/>
        <v>-771921000</v>
      </c>
      <c r="J33" s="53">
        <f t="shared" si="4"/>
        <v>0</v>
      </c>
      <c r="K33" s="53">
        <f t="shared" si="5"/>
        <v>-771921000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862</v>
      </c>
      <c r="H34" s="36">
        <f t="shared" si="2"/>
        <v>0</v>
      </c>
      <c r="I34" s="11">
        <f t="shared" si="3"/>
        <v>0</v>
      </c>
      <c r="J34" s="53">
        <f t="shared" si="4"/>
        <v>862000000</v>
      </c>
      <c r="K34" s="53">
        <f t="shared" si="5"/>
        <v>-862000000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853</v>
      </c>
      <c r="H35" s="36">
        <f t="shared" si="2"/>
        <v>1</v>
      </c>
      <c r="I35" s="11">
        <f t="shared" si="3"/>
        <v>44706144</v>
      </c>
      <c r="J35" s="53">
        <f t="shared" si="4"/>
        <v>-18456876</v>
      </c>
      <c r="K35" s="53">
        <f t="shared" si="5"/>
        <v>63163020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853</v>
      </c>
      <c r="H36" s="36">
        <f t="shared" si="2"/>
        <v>0</v>
      </c>
      <c r="I36" s="11">
        <f t="shared" si="3"/>
        <v>0</v>
      </c>
      <c r="J36" s="53">
        <f t="shared" si="4"/>
        <v>18478539</v>
      </c>
      <c r="K36" s="53">
        <f t="shared" si="5"/>
        <v>-18478539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843</v>
      </c>
      <c r="H37" s="36">
        <f t="shared" si="2"/>
        <v>0</v>
      </c>
      <c r="I37" s="11">
        <f t="shared" si="3"/>
        <v>-46365000</v>
      </c>
      <c r="J37" s="53">
        <f t="shared" si="4"/>
        <v>0</v>
      </c>
      <c r="K37" s="53">
        <f t="shared" si="5"/>
        <v>-46365000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842</v>
      </c>
      <c r="H38" s="36">
        <f t="shared" si="2"/>
        <v>1</v>
      </c>
      <c r="I38" s="11">
        <f t="shared" si="3"/>
        <v>2523000000</v>
      </c>
      <c r="J38" s="53">
        <f t="shared" si="4"/>
        <v>2523000000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841</v>
      </c>
      <c r="H39" s="36">
        <f t="shared" si="2"/>
        <v>1</v>
      </c>
      <c r="I39" s="11">
        <f t="shared" si="3"/>
        <v>2100000000</v>
      </c>
      <c r="J39" s="53">
        <f t="shared" si="4"/>
        <v>2100000000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841</v>
      </c>
      <c r="H40" s="36">
        <f t="shared" si="2"/>
        <v>0</v>
      </c>
      <c r="I40" s="11">
        <f t="shared" si="3"/>
        <v>-42050000</v>
      </c>
      <c r="J40" s="53">
        <f t="shared" si="4"/>
        <v>0</v>
      </c>
      <c r="K40" s="53">
        <f t="shared" si="5"/>
        <v>-42050000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841</v>
      </c>
      <c r="H41" s="36">
        <f t="shared" si="2"/>
        <v>1</v>
      </c>
      <c r="I41" s="11">
        <f t="shared" si="3"/>
        <v>2520000000</v>
      </c>
      <c r="J41" s="53">
        <f t="shared" si="4"/>
        <v>0</v>
      </c>
      <c r="K41" s="53">
        <f t="shared" si="5"/>
        <v>2520000000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838</v>
      </c>
      <c r="H42" s="36">
        <f t="shared" si="2"/>
        <v>0</v>
      </c>
      <c r="I42" s="11">
        <f t="shared" si="3"/>
        <v>-74749600</v>
      </c>
      <c r="J42" s="53">
        <f t="shared" si="4"/>
        <v>0</v>
      </c>
      <c r="K42" s="53">
        <f t="shared" si="5"/>
        <v>-74749600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834</v>
      </c>
      <c r="H43" s="36">
        <f t="shared" si="2"/>
        <v>0</v>
      </c>
      <c r="I43" s="11">
        <f t="shared" si="3"/>
        <v>-166800000</v>
      </c>
      <c r="J43" s="53">
        <f t="shared" si="4"/>
        <v>0</v>
      </c>
      <c r="K43" s="53">
        <f t="shared" si="5"/>
        <v>-166800000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832</v>
      </c>
      <c r="H44" s="36">
        <f t="shared" si="2"/>
        <v>0</v>
      </c>
      <c r="I44" s="11">
        <f t="shared" si="3"/>
        <v>-166400000</v>
      </c>
      <c r="J44" s="53">
        <f t="shared" si="4"/>
        <v>0</v>
      </c>
      <c r="K44" s="53">
        <f t="shared" si="5"/>
        <v>-166400000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832</v>
      </c>
      <c r="H45" s="36">
        <f t="shared" si="2"/>
        <v>0</v>
      </c>
      <c r="I45" s="11">
        <f t="shared" si="3"/>
        <v>-465920000</v>
      </c>
      <c r="J45" s="53">
        <f t="shared" si="4"/>
        <v>0</v>
      </c>
      <c r="K45" s="53">
        <f t="shared" si="5"/>
        <v>-465920000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828</v>
      </c>
      <c r="H46" s="36">
        <f t="shared" si="2"/>
        <v>0</v>
      </c>
      <c r="I46" s="11">
        <f t="shared" si="3"/>
        <v>-584154000</v>
      </c>
      <c r="J46" s="53">
        <f t="shared" si="4"/>
        <v>0</v>
      </c>
      <c r="K46" s="53">
        <f t="shared" si="5"/>
        <v>-584154000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822</v>
      </c>
      <c r="H47" s="36">
        <f t="shared" si="2"/>
        <v>1</v>
      </c>
      <c r="I47" s="11">
        <f t="shared" si="3"/>
        <v>33828484</v>
      </c>
      <c r="J47" s="53">
        <f t="shared" si="4"/>
        <v>5511373</v>
      </c>
      <c r="K47" s="53">
        <f t="shared" si="5"/>
        <v>28317111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822</v>
      </c>
      <c r="H48" s="36">
        <f t="shared" si="2"/>
        <v>1</v>
      </c>
      <c r="I48" s="11">
        <f t="shared" si="3"/>
        <v>1399558700</v>
      </c>
      <c r="J48" s="53">
        <f t="shared" si="4"/>
        <v>0</v>
      </c>
      <c r="K48" s="53">
        <f t="shared" si="5"/>
        <v>1399558700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813</v>
      </c>
      <c r="H49" s="36">
        <f t="shared" si="2"/>
        <v>0</v>
      </c>
      <c r="I49" s="11">
        <f t="shared" si="3"/>
        <v>-126015000</v>
      </c>
      <c r="J49" s="53">
        <f t="shared" si="4"/>
        <v>0</v>
      </c>
      <c r="K49" s="53">
        <f t="shared" si="5"/>
        <v>-126015000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813</v>
      </c>
      <c r="H50" s="36">
        <f t="shared" si="2"/>
        <v>0</v>
      </c>
      <c r="I50" s="11">
        <f t="shared" si="3"/>
        <v>-112194000</v>
      </c>
      <c r="J50" s="53">
        <f t="shared" si="4"/>
        <v>0</v>
      </c>
      <c r="K50" s="53">
        <f t="shared" si="5"/>
        <v>-112194000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813</v>
      </c>
      <c r="H51" s="36">
        <f t="shared" si="2"/>
        <v>0</v>
      </c>
      <c r="I51" s="11">
        <f t="shared" si="3"/>
        <v>-601620000</v>
      </c>
      <c r="J51" s="53">
        <f t="shared" si="4"/>
        <v>0</v>
      </c>
      <c r="K51" s="53">
        <f t="shared" si="5"/>
        <v>-601620000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813</v>
      </c>
      <c r="H52" s="36">
        <f t="shared" si="2"/>
        <v>0</v>
      </c>
      <c r="I52" s="11">
        <f t="shared" si="3"/>
        <v>-162600000</v>
      </c>
      <c r="J52" s="53">
        <f t="shared" si="4"/>
        <v>0</v>
      </c>
      <c r="K52" s="53">
        <f t="shared" si="5"/>
        <v>-162600000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812</v>
      </c>
      <c r="H53" s="36">
        <f t="shared" si="2"/>
        <v>0</v>
      </c>
      <c r="I53" s="11">
        <f t="shared" si="3"/>
        <v>-856660000</v>
      </c>
      <c r="J53" s="53">
        <f t="shared" si="4"/>
        <v>0</v>
      </c>
      <c r="K53" s="53">
        <f t="shared" si="5"/>
        <v>-856660000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812</v>
      </c>
      <c r="H54" s="36">
        <f t="shared" si="2"/>
        <v>0</v>
      </c>
      <c r="I54" s="11">
        <f t="shared" si="3"/>
        <v>-162400000</v>
      </c>
      <c r="J54" s="53">
        <f t="shared" si="4"/>
        <v>0</v>
      </c>
      <c r="K54" s="53">
        <f t="shared" si="5"/>
        <v>-162400000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812</v>
      </c>
      <c r="H55" s="36">
        <f t="shared" si="2"/>
        <v>0</v>
      </c>
      <c r="I55" s="11">
        <f t="shared" si="3"/>
        <v>-812406000</v>
      </c>
      <c r="J55" s="53">
        <f t="shared" si="4"/>
        <v>0</v>
      </c>
      <c r="K55" s="53">
        <f t="shared" si="5"/>
        <v>-812406000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812</v>
      </c>
      <c r="H56" s="36">
        <f t="shared" si="2"/>
        <v>0</v>
      </c>
      <c r="I56" s="11">
        <f t="shared" si="3"/>
        <v>-30856000</v>
      </c>
      <c r="J56" s="53">
        <f t="shared" si="4"/>
        <v>0</v>
      </c>
      <c r="K56" s="53">
        <f t="shared" si="5"/>
        <v>-30856000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812</v>
      </c>
      <c r="H57" s="36">
        <f t="shared" si="2"/>
        <v>0</v>
      </c>
      <c r="I57" s="11">
        <f t="shared" si="3"/>
        <v>-85260000</v>
      </c>
      <c r="J57" s="53">
        <f t="shared" si="4"/>
        <v>0</v>
      </c>
      <c r="K57" s="53">
        <f t="shared" si="5"/>
        <v>-85260000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812</v>
      </c>
      <c r="H58" s="36">
        <f t="shared" si="2"/>
        <v>0</v>
      </c>
      <c r="I58" s="11">
        <f t="shared" si="3"/>
        <v>-48720000</v>
      </c>
      <c r="J58" s="53">
        <f t="shared" si="4"/>
        <v>0</v>
      </c>
      <c r="K58" s="53">
        <f t="shared" si="5"/>
        <v>-48720000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809</v>
      </c>
      <c r="H59" s="36">
        <f t="shared" si="2"/>
        <v>1</v>
      </c>
      <c r="I59" s="11">
        <f t="shared" si="3"/>
        <v>808000000</v>
      </c>
      <c r="J59" s="53">
        <f t="shared" si="4"/>
        <v>808000000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808</v>
      </c>
      <c r="H60" s="36">
        <f t="shared" si="2"/>
        <v>1</v>
      </c>
      <c r="I60" s="11">
        <f t="shared" si="3"/>
        <v>2824500000</v>
      </c>
      <c r="J60" s="53">
        <f t="shared" si="4"/>
        <v>2824500000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806</v>
      </c>
      <c r="H61" s="36">
        <f t="shared" si="2"/>
        <v>1</v>
      </c>
      <c r="I61" s="11">
        <f t="shared" si="3"/>
        <v>805000000</v>
      </c>
      <c r="J61" s="53">
        <f t="shared" si="4"/>
        <v>805000000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806</v>
      </c>
      <c r="H62" s="36">
        <f t="shared" si="2"/>
        <v>1</v>
      </c>
      <c r="I62" s="11">
        <f t="shared" si="3"/>
        <v>2415000000</v>
      </c>
      <c r="J62" s="53">
        <f t="shared" si="4"/>
        <v>2415000000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804</v>
      </c>
      <c r="H63" s="36">
        <f t="shared" si="2"/>
        <v>0</v>
      </c>
      <c r="I63" s="11">
        <f t="shared" si="3"/>
        <v>-160800000</v>
      </c>
      <c r="J63" s="53">
        <f t="shared" si="4"/>
        <v>0</v>
      </c>
      <c r="K63" s="53">
        <f t="shared" si="5"/>
        <v>-160800000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799</v>
      </c>
      <c r="H64" s="36">
        <f t="shared" si="2"/>
        <v>0</v>
      </c>
      <c r="I64" s="11">
        <f t="shared" si="3"/>
        <v>-39950000</v>
      </c>
      <c r="J64" s="53">
        <f t="shared" si="4"/>
        <v>0</v>
      </c>
      <c r="K64" s="53">
        <f t="shared" si="5"/>
        <v>-39950000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795</v>
      </c>
      <c r="H65" s="36">
        <f t="shared" si="2"/>
        <v>0</v>
      </c>
      <c r="I65" s="11">
        <f t="shared" si="3"/>
        <v>-159000000</v>
      </c>
      <c r="J65" s="53">
        <f t="shared" si="4"/>
        <v>0</v>
      </c>
      <c r="K65" s="53">
        <f t="shared" si="5"/>
        <v>-159000000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792</v>
      </c>
      <c r="H66" s="36">
        <f t="shared" si="2"/>
        <v>0</v>
      </c>
      <c r="I66" s="11">
        <f t="shared" si="3"/>
        <v>-134640000</v>
      </c>
      <c r="J66" s="53">
        <f t="shared" si="4"/>
        <v>0</v>
      </c>
      <c r="K66" s="53">
        <f t="shared" si="5"/>
        <v>-134640000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791</v>
      </c>
      <c r="H67" s="36">
        <f t="shared" ref="H67:H131" si="8">IF(B67&gt;0,1,0)</f>
        <v>1</v>
      </c>
      <c r="I67" s="11">
        <f t="shared" ref="I67:I119" si="9">B67*(G67-H67)</f>
        <v>72146750</v>
      </c>
      <c r="J67" s="53">
        <f t="shared" ref="J67:J131" si="10">C67*(G67-H67)</f>
        <v>51921170</v>
      </c>
      <c r="K67" s="53">
        <f t="shared" ref="K67:K131" si="11">D67*(G67-H67)</f>
        <v>20225580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773</v>
      </c>
      <c r="H68" s="36">
        <f t="shared" si="8"/>
        <v>0</v>
      </c>
      <c r="I68" s="11">
        <f t="shared" si="9"/>
        <v>-112085000</v>
      </c>
      <c r="J68" s="53">
        <f t="shared" si="10"/>
        <v>0</v>
      </c>
      <c r="K68" s="53">
        <f t="shared" si="11"/>
        <v>-112085000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766</v>
      </c>
      <c r="H69" s="36">
        <f t="shared" si="8"/>
        <v>1</v>
      </c>
      <c r="I69" s="11">
        <f t="shared" si="9"/>
        <v>749700000</v>
      </c>
      <c r="J69" s="53">
        <f t="shared" si="10"/>
        <v>0</v>
      </c>
      <c r="K69" s="53">
        <f t="shared" si="11"/>
        <v>749700000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763</v>
      </c>
      <c r="H70" s="36">
        <f t="shared" si="8"/>
        <v>0</v>
      </c>
      <c r="I70" s="11">
        <f t="shared" si="9"/>
        <v>-35098000</v>
      </c>
      <c r="J70" s="53">
        <f t="shared" si="10"/>
        <v>0</v>
      </c>
      <c r="K70" s="53">
        <f t="shared" si="11"/>
        <v>-35098000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761</v>
      </c>
      <c r="H71" s="36">
        <f t="shared" si="8"/>
        <v>1</v>
      </c>
      <c r="I71" s="11">
        <f t="shared" si="9"/>
        <v>87656880</v>
      </c>
      <c r="J71" s="53">
        <f t="shared" si="10"/>
        <v>78897120</v>
      </c>
      <c r="K71" s="53">
        <f t="shared" si="11"/>
        <v>8759760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760</v>
      </c>
      <c r="H72" s="36">
        <f t="shared" si="8"/>
        <v>0</v>
      </c>
      <c r="I72" s="11">
        <f t="shared" si="9"/>
        <v>-115496440</v>
      </c>
      <c r="J72" s="53">
        <f t="shared" si="10"/>
        <v>0</v>
      </c>
      <c r="K72" s="53">
        <f t="shared" si="11"/>
        <v>-115496440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759</v>
      </c>
      <c r="H73" s="36">
        <f t="shared" si="8"/>
        <v>0</v>
      </c>
      <c r="I73" s="11">
        <f t="shared" si="9"/>
        <v>-611374500</v>
      </c>
      <c r="J73" s="53">
        <f t="shared" si="10"/>
        <v>0</v>
      </c>
      <c r="K73" s="53">
        <f t="shared" si="11"/>
        <v>-611374500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752</v>
      </c>
      <c r="H74" s="36">
        <f t="shared" si="8"/>
        <v>1</v>
      </c>
      <c r="I74" s="11">
        <f t="shared" si="9"/>
        <v>5253245000</v>
      </c>
      <c r="J74" s="53">
        <f t="shared" si="10"/>
        <v>0</v>
      </c>
      <c r="K74" s="53">
        <f t="shared" si="11"/>
        <v>5253245000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751</v>
      </c>
      <c r="H75" s="36">
        <f t="shared" si="8"/>
        <v>1</v>
      </c>
      <c r="I75" s="11">
        <f t="shared" si="9"/>
        <v>2250000000</v>
      </c>
      <c r="J75" s="53">
        <f t="shared" si="10"/>
        <v>0</v>
      </c>
      <c r="K75" s="53">
        <f t="shared" si="11"/>
        <v>2250000000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749</v>
      </c>
      <c r="H76" s="36">
        <f t="shared" si="8"/>
        <v>1</v>
      </c>
      <c r="I76" s="11">
        <f t="shared" si="9"/>
        <v>2244000000</v>
      </c>
      <c r="J76" s="53">
        <f t="shared" si="10"/>
        <v>0</v>
      </c>
      <c r="K76" s="53">
        <f t="shared" si="11"/>
        <v>2244000000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748</v>
      </c>
      <c r="H77" s="36">
        <f t="shared" si="8"/>
        <v>1</v>
      </c>
      <c r="I77" s="11">
        <f t="shared" si="9"/>
        <v>2241000000</v>
      </c>
      <c r="J77" s="53">
        <f t="shared" si="10"/>
        <v>0</v>
      </c>
      <c r="K77" s="53">
        <f t="shared" si="11"/>
        <v>2241000000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747</v>
      </c>
      <c r="H78" s="36">
        <f t="shared" si="8"/>
        <v>0</v>
      </c>
      <c r="I78" s="11">
        <f t="shared" si="9"/>
        <v>-2390400000</v>
      </c>
      <c r="J78" s="53">
        <f t="shared" si="10"/>
        <v>-2390400000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746</v>
      </c>
      <c r="H79" s="36">
        <f t="shared" si="8"/>
        <v>0</v>
      </c>
      <c r="I79" s="11">
        <f t="shared" si="9"/>
        <v>-596800000</v>
      </c>
      <c r="J79" s="53">
        <f t="shared" si="10"/>
        <v>-596800000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745</v>
      </c>
      <c r="H80" s="36">
        <f t="shared" si="8"/>
        <v>0</v>
      </c>
      <c r="I80" s="11">
        <f t="shared" si="9"/>
        <v>-36052785</v>
      </c>
      <c r="J80" s="53">
        <f t="shared" si="10"/>
        <v>0</v>
      </c>
      <c r="K80" s="53">
        <f t="shared" si="11"/>
        <v>-36052785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744</v>
      </c>
      <c r="H81" s="36">
        <f t="shared" si="8"/>
        <v>0</v>
      </c>
      <c r="I81" s="11">
        <f t="shared" si="9"/>
        <v>-104160000</v>
      </c>
      <c r="J81" s="53">
        <f t="shared" si="10"/>
        <v>0</v>
      </c>
      <c r="K81" s="53">
        <f t="shared" si="11"/>
        <v>-104160000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743</v>
      </c>
      <c r="H82" s="36">
        <f t="shared" si="8"/>
        <v>0</v>
      </c>
      <c r="I82" s="11">
        <f t="shared" si="9"/>
        <v>-185750000</v>
      </c>
      <c r="J82" s="53">
        <f t="shared" si="10"/>
        <v>0</v>
      </c>
      <c r="K82" s="53">
        <f t="shared" si="11"/>
        <v>-185750000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742</v>
      </c>
      <c r="H83" s="36">
        <f t="shared" si="8"/>
        <v>0</v>
      </c>
      <c r="I83" s="11">
        <f t="shared" si="9"/>
        <v>-148400000</v>
      </c>
      <c r="J83" s="53">
        <f t="shared" si="10"/>
        <v>0</v>
      </c>
      <c r="K83" s="53">
        <f t="shared" si="11"/>
        <v>-148400000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739</v>
      </c>
      <c r="H84" s="36">
        <f t="shared" si="8"/>
        <v>1</v>
      </c>
      <c r="I84" s="11">
        <f t="shared" si="9"/>
        <v>1206777600</v>
      </c>
      <c r="J84" s="53">
        <f t="shared" si="10"/>
        <v>0</v>
      </c>
      <c r="K84" s="53">
        <f t="shared" si="11"/>
        <v>1206777600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735</v>
      </c>
      <c r="H85" s="36">
        <f t="shared" si="8"/>
        <v>1</v>
      </c>
      <c r="I85" s="11">
        <f t="shared" si="9"/>
        <v>1835000000</v>
      </c>
      <c r="J85" s="53">
        <f t="shared" si="10"/>
        <v>0</v>
      </c>
      <c r="K85" s="53">
        <f t="shared" si="11"/>
        <v>1835000000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731</v>
      </c>
      <c r="H86" s="36">
        <f t="shared" si="8"/>
        <v>1</v>
      </c>
      <c r="I86" s="11">
        <f t="shared" si="9"/>
        <v>135999000</v>
      </c>
      <c r="J86" s="53">
        <f t="shared" si="10"/>
        <v>62013500</v>
      </c>
      <c r="K86" s="53">
        <f t="shared" si="11"/>
        <v>73985500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728</v>
      </c>
      <c r="H87" s="36">
        <f t="shared" si="8"/>
        <v>0</v>
      </c>
      <c r="I87" s="11">
        <f t="shared" si="9"/>
        <v>-145600000</v>
      </c>
      <c r="J87" s="53">
        <f t="shared" si="10"/>
        <v>0</v>
      </c>
      <c r="K87" s="53">
        <f t="shared" si="11"/>
        <v>-145600000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727</v>
      </c>
      <c r="H88" s="36">
        <f t="shared" si="8"/>
        <v>0</v>
      </c>
      <c r="I88" s="11">
        <f t="shared" si="9"/>
        <v>-85786000</v>
      </c>
      <c r="J88" s="53">
        <f t="shared" si="10"/>
        <v>-50163000</v>
      </c>
      <c r="K88" s="53">
        <f t="shared" si="11"/>
        <v>-35623000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719</v>
      </c>
      <c r="H89" s="36">
        <f t="shared" si="8"/>
        <v>0</v>
      </c>
      <c r="I89" s="11">
        <f t="shared" si="9"/>
        <v>-2301447100</v>
      </c>
      <c r="J89" s="53">
        <f t="shared" si="10"/>
        <v>0</v>
      </c>
      <c r="K89" s="53">
        <f t="shared" si="11"/>
        <v>-2301447100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718</v>
      </c>
      <c r="H90" s="36">
        <f t="shared" si="8"/>
        <v>0</v>
      </c>
      <c r="I90" s="11">
        <f t="shared" si="9"/>
        <v>-2298246200</v>
      </c>
      <c r="J90" s="53">
        <f t="shared" si="10"/>
        <v>0</v>
      </c>
      <c r="K90" s="53">
        <f t="shared" si="11"/>
        <v>-2298246200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717</v>
      </c>
      <c r="H91" s="36">
        <f t="shared" si="8"/>
        <v>0</v>
      </c>
      <c r="I91" s="11">
        <f t="shared" si="9"/>
        <v>-2295045300</v>
      </c>
      <c r="J91" s="53">
        <f t="shared" si="10"/>
        <v>0</v>
      </c>
      <c r="K91" s="53">
        <f t="shared" si="11"/>
        <v>-2295045300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716</v>
      </c>
      <c r="H92" s="36">
        <f t="shared" si="8"/>
        <v>0</v>
      </c>
      <c r="I92" s="11">
        <f t="shared" si="9"/>
        <v>-2291844400</v>
      </c>
      <c r="J92" s="53">
        <f t="shared" si="10"/>
        <v>0</v>
      </c>
      <c r="K92" s="53">
        <f t="shared" si="11"/>
        <v>-2291844400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715</v>
      </c>
      <c r="H93" s="36">
        <f t="shared" si="8"/>
        <v>0</v>
      </c>
      <c r="I93" s="11">
        <f t="shared" si="9"/>
        <v>-2288643500</v>
      </c>
      <c r="J93" s="53">
        <f t="shared" si="10"/>
        <v>0</v>
      </c>
      <c r="K93" s="53">
        <f t="shared" si="11"/>
        <v>-2288643500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714</v>
      </c>
      <c r="H94" s="36">
        <f t="shared" si="8"/>
        <v>0</v>
      </c>
      <c r="I94" s="11">
        <f t="shared" si="9"/>
        <v>-2285442600</v>
      </c>
      <c r="J94" s="53">
        <f t="shared" si="10"/>
        <v>0</v>
      </c>
      <c r="K94" s="53">
        <f t="shared" si="11"/>
        <v>-2285442600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712</v>
      </c>
      <c r="H95" s="36">
        <f t="shared" si="8"/>
        <v>0</v>
      </c>
      <c r="I95" s="11">
        <f t="shared" si="9"/>
        <v>-851976352</v>
      </c>
      <c r="J95" s="53">
        <f t="shared" si="10"/>
        <v>0</v>
      </c>
      <c r="K95" s="53">
        <f t="shared" si="11"/>
        <v>-851976352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702</v>
      </c>
      <c r="H96" s="36">
        <f t="shared" si="8"/>
        <v>0</v>
      </c>
      <c r="I96" s="11">
        <f t="shared" si="9"/>
        <v>-140400000</v>
      </c>
      <c r="J96" s="53">
        <f t="shared" si="10"/>
        <v>0</v>
      </c>
      <c r="K96" s="53">
        <f t="shared" si="11"/>
        <v>-140400000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701</v>
      </c>
      <c r="H97" s="36">
        <f t="shared" si="8"/>
        <v>1</v>
      </c>
      <c r="I97" s="11">
        <f t="shared" si="9"/>
        <v>111690600</v>
      </c>
      <c r="J97" s="53">
        <f t="shared" si="10"/>
        <v>48248200</v>
      </c>
      <c r="K97" s="53">
        <f t="shared" si="11"/>
        <v>63442400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696</v>
      </c>
      <c r="H98" s="36">
        <f t="shared" si="8"/>
        <v>1</v>
      </c>
      <c r="I98" s="11">
        <f t="shared" si="9"/>
        <v>79485760</v>
      </c>
      <c r="J98" s="53">
        <f t="shared" si="10"/>
        <v>0</v>
      </c>
      <c r="K98" s="53">
        <f t="shared" si="11"/>
        <v>79485760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693</v>
      </c>
      <c r="H99" s="36">
        <f t="shared" si="8"/>
        <v>0</v>
      </c>
      <c r="I99" s="11">
        <f t="shared" si="9"/>
        <v>-918225000</v>
      </c>
      <c r="J99" s="53">
        <f t="shared" si="10"/>
        <v>0</v>
      </c>
      <c r="K99" s="53">
        <f t="shared" si="11"/>
        <v>-918225000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688</v>
      </c>
      <c r="H100" s="36">
        <f t="shared" si="8"/>
        <v>1</v>
      </c>
      <c r="I100" s="11">
        <f t="shared" si="9"/>
        <v>910275000</v>
      </c>
      <c r="J100" s="53">
        <f t="shared" si="10"/>
        <v>0</v>
      </c>
      <c r="K100" s="53">
        <f t="shared" si="11"/>
        <v>910275000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671</v>
      </c>
      <c r="H101" s="36">
        <f t="shared" si="8"/>
        <v>1</v>
      </c>
      <c r="I101" s="11">
        <f t="shared" si="9"/>
        <v>44786150</v>
      </c>
      <c r="J101" s="53">
        <f t="shared" si="10"/>
        <v>44786150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668</v>
      </c>
      <c r="H102" s="36">
        <f t="shared" si="8"/>
        <v>1</v>
      </c>
      <c r="I102" s="11">
        <f t="shared" si="9"/>
        <v>2001000000</v>
      </c>
      <c r="J102" s="53">
        <f t="shared" si="10"/>
        <v>0</v>
      </c>
      <c r="K102" s="53">
        <f t="shared" si="11"/>
        <v>2001000000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661</v>
      </c>
      <c r="H103" s="36">
        <f t="shared" si="8"/>
        <v>0</v>
      </c>
      <c r="I103" s="11">
        <f t="shared" si="9"/>
        <v>-661000000</v>
      </c>
      <c r="J103" s="53">
        <f t="shared" si="10"/>
        <v>-661000000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651</v>
      </c>
      <c r="H104" s="36">
        <f t="shared" si="8"/>
        <v>1</v>
      </c>
      <c r="I104" s="11">
        <f t="shared" si="9"/>
        <v>1950000000</v>
      </c>
      <c r="J104" s="53">
        <f t="shared" si="10"/>
        <v>1950000000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650</v>
      </c>
      <c r="H105" s="36">
        <f t="shared" si="8"/>
        <v>1</v>
      </c>
      <c r="I105" s="11">
        <f t="shared" si="9"/>
        <v>726880000</v>
      </c>
      <c r="J105" s="53">
        <f t="shared" si="10"/>
        <v>726880000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650</v>
      </c>
      <c r="H106" s="36">
        <f t="shared" si="8"/>
        <v>0</v>
      </c>
      <c r="I106" s="11">
        <f t="shared" si="9"/>
        <v>-1950000000</v>
      </c>
      <c r="J106" s="53">
        <f t="shared" si="10"/>
        <v>0</v>
      </c>
      <c r="K106" s="53">
        <f t="shared" si="11"/>
        <v>-1950000000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641</v>
      </c>
      <c r="H107" s="36">
        <f t="shared" si="8"/>
        <v>1</v>
      </c>
      <c r="I107" s="11">
        <f t="shared" si="9"/>
        <v>57916160</v>
      </c>
      <c r="J107" s="53">
        <f t="shared" si="10"/>
        <v>48073600</v>
      </c>
      <c r="K107" s="53">
        <f t="shared" si="11"/>
        <v>9842560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639</v>
      </c>
      <c r="H108" s="36">
        <f t="shared" si="8"/>
        <v>0</v>
      </c>
      <c r="I108" s="11">
        <f t="shared" si="9"/>
        <v>-1086747300</v>
      </c>
      <c r="J108" s="53">
        <f t="shared" si="10"/>
        <v>0</v>
      </c>
      <c r="K108" s="53">
        <f t="shared" si="11"/>
        <v>-1086747300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635</v>
      </c>
      <c r="H109" s="36">
        <f t="shared" si="8"/>
        <v>0</v>
      </c>
      <c r="I109" s="11">
        <f t="shared" si="9"/>
        <v>-635317500</v>
      </c>
      <c r="J109" s="53">
        <f t="shared" si="10"/>
        <v>0</v>
      </c>
      <c r="K109" s="53">
        <f t="shared" si="11"/>
        <v>-635317500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632</v>
      </c>
      <c r="H110" s="36">
        <f t="shared" si="8"/>
        <v>1</v>
      </c>
      <c r="I110" s="11">
        <f t="shared" si="9"/>
        <v>12620000000</v>
      </c>
      <c r="J110" s="53">
        <f t="shared" si="10"/>
        <v>0</v>
      </c>
      <c r="K110" s="53">
        <f t="shared" si="11"/>
        <v>12620000000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612</v>
      </c>
      <c r="H111" s="36">
        <f t="shared" si="8"/>
        <v>1</v>
      </c>
      <c r="I111" s="11">
        <f t="shared" si="9"/>
        <v>106728258</v>
      </c>
      <c r="J111" s="53">
        <f t="shared" si="10"/>
        <v>53378793</v>
      </c>
      <c r="K111" s="53">
        <f t="shared" si="11"/>
        <v>53349465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596</v>
      </c>
      <c r="H112" s="36">
        <f t="shared" si="8"/>
        <v>0</v>
      </c>
      <c r="I112" s="11">
        <f t="shared" si="9"/>
        <v>-16926400000</v>
      </c>
      <c r="J112" s="53">
        <f t="shared" si="10"/>
        <v>0</v>
      </c>
      <c r="K112" s="53">
        <f t="shared" si="11"/>
        <v>-16926400000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581</v>
      </c>
      <c r="H113" s="36">
        <f t="shared" si="8"/>
        <v>1</v>
      </c>
      <c r="I113" s="11">
        <f t="shared" si="9"/>
        <v>94563200</v>
      </c>
      <c r="J113" s="53">
        <f t="shared" si="10"/>
        <v>71056380</v>
      </c>
      <c r="K113" s="53">
        <f t="shared" si="11"/>
        <v>23506820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581</v>
      </c>
      <c r="H114" s="36">
        <f t="shared" si="8"/>
        <v>0</v>
      </c>
      <c r="I114" s="11">
        <f t="shared" si="9"/>
        <v>-3311700</v>
      </c>
      <c r="J114" s="53">
        <f t="shared" si="10"/>
        <v>-1452500</v>
      </c>
      <c r="K114" s="53">
        <f t="shared" si="11"/>
        <v>-1859200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568</v>
      </c>
      <c r="H115" s="36">
        <f t="shared" si="8"/>
        <v>0</v>
      </c>
      <c r="I115" s="11">
        <f t="shared" si="9"/>
        <v>0</v>
      </c>
      <c r="J115" s="53">
        <f t="shared" si="10"/>
        <v>284000000</v>
      </c>
      <c r="K115" s="53">
        <f t="shared" si="11"/>
        <v>-284000000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560</v>
      </c>
      <c r="H116" s="36">
        <f t="shared" si="8"/>
        <v>0</v>
      </c>
      <c r="I116" s="11">
        <f t="shared" si="9"/>
        <v>-89600000</v>
      </c>
      <c r="J116" s="53">
        <f t="shared" si="10"/>
        <v>0</v>
      </c>
      <c r="K116" s="53">
        <f t="shared" si="11"/>
        <v>-89600000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551</v>
      </c>
      <c r="H117" s="36">
        <f t="shared" si="8"/>
        <v>1</v>
      </c>
      <c r="I117" s="11">
        <f t="shared" si="9"/>
        <v>814000</v>
      </c>
      <c r="J117" s="53">
        <f t="shared" si="10"/>
        <v>58817550</v>
      </c>
      <c r="K117" s="53">
        <f t="shared" si="11"/>
        <v>-58003550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529</v>
      </c>
      <c r="H118" s="36">
        <f t="shared" si="8"/>
        <v>1</v>
      </c>
      <c r="I118" s="11">
        <f t="shared" si="9"/>
        <v>20802936000</v>
      </c>
      <c r="J118" s="53">
        <f t="shared" si="10"/>
        <v>0</v>
      </c>
      <c r="K118" s="53">
        <f t="shared" si="11"/>
        <v>20802936000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520</v>
      </c>
      <c r="H119" s="36">
        <f t="shared" si="8"/>
        <v>1</v>
      </c>
      <c r="I119" s="11">
        <f t="shared" si="9"/>
        <v>49575399</v>
      </c>
      <c r="J119" s="53">
        <f t="shared" si="10"/>
        <v>57118026</v>
      </c>
      <c r="K119" s="53">
        <f t="shared" si="11"/>
        <v>-7542627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516</v>
      </c>
      <c r="H120" s="11">
        <f t="shared" si="8"/>
        <v>1</v>
      </c>
      <c r="I120" s="11">
        <f t="shared" ref="I120:I266" si="13">B120*(G120-H120)</f>
        <v>1030000000</v>
      </c>
      <c r="J120" s="11">
        <f t="shared" si="10"/>
        <v>0</v>
      </c>
      <c r="K120" s="11">
        <f t="shared" si="11"/>
        <v>1030000000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490</v>
      </c>
      <c r="H121" s="11">
        <f t="shared" si="8"/>
        <v>1</v>
      </c>
      <c r="I121" s="11">
        <f t="shared" si="13"/>
        <v>1271400000</v>
      </c>
      <c r="J121" s="11">
        <f t="shared" si="10"/>
        <v>0</v>
      </c>
      <c r="K121" s="11">
        <f t="shared" si="11"/>
        <v>1271400000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489</v>
      </c>
      <c r="H122" s="11">
        <f t="shared" si="8"/>
        <v>1</v>
      </c>
      <c r="I122" s="11">
        <f t="shared" si="13"/>
        <v>187660888</v>
      </c>
      <c r="J122" s="11">
        <f t="shared" si="10"/>
        <v>54123104</v>
      </c>
      <c r="K122" s="11">
        <f t="shared" si="11"/>
        <v>133537784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488</v>
      </c>
      <c r="H123" s="11">
        <f t="shared" si="8"/>
        <v>0</v>
      </c>
      <c r="I123" s="11">
        <f t="shared" si="13"/>
        <v>0</v>
      </c>
      <c r="J123" s="11">
        <f t="shared" si="10"/>
        <v>390400000</v>
      </c>
      <c r="K123" s="11">
        <f t="shared" si="11"/>
        <v>-390400000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474</v>
      </c>
      <c r="H124" s="11">
        <f t="shared" si="8"/>
        <v>0</v>
      </c>
      <c r="I124" s="11">
        <f t="shared" si="13"/>
        <v>-1422000000</v>
      </c>
      <c r="J124" s="11">
        <f t="shared" si="10"/>
        <v>0</v>
      </c>
      <c r="K124" s="11">
        <f t="shared" si="11"/>
        <v>-1422000000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459</v>
      </c>
      <c r="H125" s="11">
        <f t="shared" si="8"/>
        <v>1</v>
      </c>
      <c r="I125" s="11">
        <f t="shared" si="13"/>
        <v>183525180</v>
      </c>
      <c r="J125" s="11">
        <f t="shared" si="10"/>
        <v>54444750</v>
      </c>
      <c r="K125" s="11">
        <f t="shared" si="11"/>
        <v>129080430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459</v>
      </c>
      <c r="H126" s="11">
        <f t="shared" si="8"/>
        <v>1</v>
      </c>
      <c r="I126" s="11">
        <f t="shared" si="13"/>
        <v>19236000000</v>
      </c>
      <c r="J126" s="11">
        <f t="shared" si="10"/>
        <v>0</v>
      </c>
      <c r="K126" s="11">
        <f t="shared" si="11"/>
        <v>19236000000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434</v>
      </c>
      <c r="H127" s="11">
        <f t="shared" si="8"/>
        <v>0</v>
      </c>
      <c r="I127" s="11">
        <f t="shared" si="13"/>
        <v>-2170000</v>
      </c>
      <c r="J127" s="11">
        <f t="shared" si="10"/>
        <v>0</v>
      </c>
      <c r="K127" s="11">
        <f t="shared" si="11"/>
        <v>-2170000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428</v>
      </c>
      <c r="H128" s="11">
        <f t="shared" si="8"/>
        <v>1</v>
      </c>
      <c r="I128" s="11">
        <f t="shared" si="13"/>
        <v>329376698</v>
      </c>
      <c r="J128" s="11">
        <f t="shared" si="10"/>
        <v>51537619</v>
      </c>
      <c r="K128" s="11">
        <f t="shared" si="11"/>
        <v>277839079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425</v>
      </c>
      <c r="H129" s="11">
        <f t="shared" si="8"/>
        <v>1</v>
      </c>
      <c r="I129" s="11">
        <f t="shared" si="13"/>
        <v>1060000000</v>
      </c>
      <c r="J129" s="11">
        <f t="shared" si="10"/>
        <v>0</v>
      </c>
      <c r="K129" s="11">
        <f t="shared" si="11"/>
        <v>1060000000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411</v>
      </c>
      <c r="H130" s="11">
        <f t="shared" si="8"/>
        <v>0</v>
      </c>
      <c r="I130" s="11">
        <f t="shared" si="13"/>
        <v>-411000000</v>
      </c>
      <c r="J130" s="11">
        <f t="shared" si="10"/>
        <v>-411000000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406</v>
      </c>
      <c r="H131" s="11">
        <f t="shared" si="8"/>
        <v>0</v>
      </c>
      <c r="I131" s="11">
        <f t="shared" si="13"/>
        <v>-20300000000</v>
      </c>
      <c r="J131" s="11">
        <f t="shared" si="10"/>
        <v>0</v>
      </c>
      <c r="K131" s="11">
        <f t="shared" si="11"/>
        <v>-20300000000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398</v>
      </c>
      <c r="H132" s="11">
        <f t="shared" ref="H132:H266" si="15">IF(B132&gt;0,1,0)</f>
        <v>1</v>
      </c>
      <c r="I132" s="11">
        <f t="shared" si="13"/>
        <v>243871939</v>
      </c>
      <c r="J132" s="11">
        <f t="shared" ref="J132:J206" si="16">C132*(G132-H132)</f>
        <v>42070487</v>
      </c>
      <c r="K132" s="11">
        <f t="shared" ref="K132:K266" si="17">D132*(G132-H132)</f>
        <v>201801452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394</v>
      </c>
      <c r="H133" s="11">
        <f t="shared" si="15"/>
        <v>0</v>
      </c>
      <c r="I133" s="11">
        <f t="shared" si="13"/>
        <v>-477015800</v>
      </c>
      <c r="J133" s="11">
        <f t="shared" si="16"/>
        <v>0</v>
      </c>
      <c r="K133" s="11">
        <f t="shared" si="17"/>
        <v>-477015800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385</v>
      </c>
      <c r="H134" s="11">
        <f t="shared" si="15"/>
        <v>0</v>
      </c>
      <c r="I134" s="11">
        <f t="shared" si="13"/>
        <v>-25025000</v>
      </c>
      <c r="J134" s="11">
        <f t="shared" si="16"/>
        <v>0</v>
      </c>
      <c r="K134" s="11">
        <f t="shared" si="17"/>
        <v>-25025000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385</v>
      </c>
      <c r="H135" s="11">
        <f t="shared" si="15"/>
        <v>0</v>
      </c>
      <c r="I135" s="11">
        <f t="shared" si="13"/>
        <v>-12435500</v>
      </c>
      <c r="J135" s="11">
        <f t="shared" si="16"/>
        <v>0</v>
      </c>
      <c r="K135" s="11">
        <f t="shared" si="17"/>
        <v>-12435500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377</v>
      </c>
      <c r="H136" s="11">
        <f t="shared" si="15"/>
        <v>0</v>
      </c>
      <c r="I136" s="11">
        <f t="shared" si="13"/>
        <v>-377000000</v>
      </c>
      <c r="J136" s="11">
        <f t="shared" si="16"/>
        <v>-377000000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368</v>
      </c>
      <c r="H137" s="11">
        <f t="shared" si="15"/>
        <v>1</v>
      </c>
      <c r="I137" s="11">
        <f t="shared" si="13"/>
        <v>106750391</v>
      </c>
      <c r="J137" s="11">
        <f t="shared" si="16"/>
        <v>35730753</v>
      </c>
      <c r="K137" s="11">
        <f t="shared" si="17"/>
        <v>71019638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351</v>
      </c>
      <c r="H138" s="11">
        <f t="shared" si="15"/>
        <v>0</v>
      </c>
      <c r="I138" s="11">
        <f t="shared" si="13"/>
        <v>-351175500</v>
      </c>
      <c r="J138" s="11">
        <f t="shared" si="16"/>
        <v>-351175500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339</v>
      </c>
      <c r="H139" s="11">
        <f t="shared" si="15"/>
        <v>1</v>
      </c>
      <c r="I139" s="11">
        <f t="shared" si="13"/>
        <v>95397120</v>
      </c>
      <c r="J139" s="11">
        <f t="shared" si="16"/>
        <v>30016766</v>
      </c>
      <c r="K139" s="11">
        <f t="shared" si="17"/>
        <v>65380354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336</v>
      </c>
      <c r="H140" s="11">
        <f t="shared" si="15"/>
        <v>1</v>
      </c>
      <c r="I140" s="11">
        <f t="shared" si="13"/>
        <v>502500000</v>
      </c>
      <c r="J140" s="11">
        <f t="shared" si="16"/>
        <v>0</v>
      </c>
      <c r="K140" s="11">
        <f t="shared" si="17"/>
        <v>502500000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323</v>
      </c>
      <c r="H141" s="11">
        <f t="shared" si="15"/>
        <v>0</v>
      </c>
      <c r="I141" s="11">
        <f t="shared" si="13"/>
        <v>0</v>
      </c>
      <c r="J141" s="11">
        <f t="shared" si="16"/>
        <v>-323000000</v>
      </c>
      <c r="K141" s="11">
        <f t="shared" si="17"/>
        <v>323000000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309</v>
      </c>
      <c r="H142" s="11">
        <f t="shared" si="15"/>
        <v>1</v>
      </c>
      <c r="I142" s="11">
        <f t="shared" si="13"/>
        <v>89595044</v>
      </c>
      <c r="J142" s="11">
        <f t="shared" si="16"/>
        <v>24954776</v>
      </c>
      <c r="K142" s="11">
        <f t="shared" si="17"/>
        <v>64640268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289</v>
      </c>
      <c r="H143" s="11">
        <f t="shared" si="15"/>
        <v>0</v>
      </c>
      <c r="I143" s="11">
        <f t="shared" si="13"/>
        <v>0</v>
      </c>
      <c r="J143" s="11">
        <f t="shared" si="16"/>
        <v>-289000000</v>
      </c>
      <c r="K143" s="11">
        <f t="shared" si="17"/>
        <v>289000000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279</v>
      </c>
      <c r="H144" s="11">
        <f t="shared" si="15"/>
        <v>1</v>
      </c>
      <c r="I144" s="11">
        <f t="shared" si="13"/>
        <v>81968856</v>
      </c>
      <c r="J144" s="11">
        <f t="shared" si="16"/>
        <v>20754646</v>
      </c>
      <c r="K144" s="11">
        <f t="shared" si="17"/>
        <v>61214210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264</v>
      </c>
      <c r="H145" s="11">
        <f t="shared" si="15"/>
        <v>0</v>
      </c>
      <c r="I145" s="11">
        <f t="shared" si="13"/>
        <v>-2640000</v>
      </c>
      <c r="J145" s="11">
        <f t="shared" si="16"/>
        <v>-1320000</v>
      </c>
      <c r="K145" s="11">
        <f t="shared" si="17"/>
        <v>-1320000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259</v>
      </c>
      <c r="H146" s="11">
        <f t="shared" si="15"/>
        <v>0</v>
      </c>
      <c r="I146" s="11">
        <f t="shared" si="13"/>
        <v>-259129500</v>
      </c>
      <c r="J146" s="11">
        <f t="shared" si="16"/>
        <v>-259129500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253</v>
      </c>
      <c r="H147" s="11">
        <f t="shared" si="15"/>
        <v>0</v>
      </c>
      <c r="I147" s="11">
        <f t="shared" si="13"/>
        <v>-6831000000</v>
      </c>
      <c r="J147" s="11">
        <f t="shared" si="16"/>
        <v>0</v>
      </c>
      <c r="K147" s="11">
        <f t="shared" si="17"/>
        <v>-6831000000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250</v>
      </c>
      <c r="H148" s="11">
        <f t="shared" si="15"/>
        <v>1</v>
      </c>
      <c r="I148" s="11">
        <f t="shared" si="13"/>
        <v>62856564</v>
      </c>
      <c r="J148" s="11">
        <f t="shared" si="16"/>
        <v>16311990</v>
      </c>
      <c r="K148" s="11">
        <f t="shared" si="17"/>
        <v>46544574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242</v>
      </c>
      <c r="H149" s="11">
        <f t="shared" si="15"/>
        <v>1</v>
      </c>
      <c r="I149" s="11">
        <f t="shared" si="13"/>
        <v>12628400000</v>
      </c>
      <c r="J149" s="11">
        <f t="shared" si="16"/>
        <v>0</v>
      </c>
      <c r="K149" s="11">
        <f t="shared" si="17"/>
        <v>12628400000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235</v>
      </c>
      <c r="H150" s="11">
        <f t="shared" si="15"/>
        <v>0</v>
      </c>
      <c r="I150" s="11">
        <f t="shared" si="13"/>
        <v>-12220000000</v>
      </c>
      <c r="J150" s="11">
        <f t="shared" si="16"/>
        <v>0</v>
      </c>
      <c r="K150" s="11">
        <f t="shared" si="17"/>
        <v>-12220000000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230</v>
      </c>
      <c r="H151" s="99">
        <f t="shared" si="15"/>
        <v>0</v>
      </c>
      <c r="I151" s="99">
        <f t="shared" si="13"/>
        <v>-1840000000</v>
      </c>
      <c r="J151" s="99">
        <f t="shared" si="16"/>
        <v>-1557590130</v>
      </c>
      <c r="K151" s="11">
        <f t="shared" si="17"/>
        <v>-282409870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230</v>
      </c>
      <c r="H152" s="99">
        <f t="shared" si="15"/>
        <v>0</v>
      </c>
      <c r="I152" s="99">
        <f t="shared" si="13"/>
        <v>-7182900</v>
      </c>
      <c r="J152" s="99">
        <f t="shared" si="16"/>
        <v>0</v>
      </c>
      <c r="K152" s="99">
        <f t="shared" si="17"/>
        <v>-7182900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219</v>
      </c>
      <c r="H153" s="99">
        <f t="shared" si="15"/>
        <v>1</v>
      </c>
      <c r="I153" s="99">
        <f t="shared" si="13"/>
        <v>29448966</v>
      </c>
      <c r="J153" s="99">
        <f t="shared" si="16"/>
        <v>8966340</v>
      </c>
      <c r="K153" s="99">
        <f t="shared" si="17"/>
        <v>20482626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216</v>
      </c>
      <c r="H154" s="99">
        <f t="shared" si="15"/>
        <v>1</v>
      </c>
      <c r="I154" s="99">
        <f t="shared" si="13"/>
        <v>1467177630</v>
      </c>
      <c r="J154" s="99">
        <f t="shared" si="16"/>
        <v>1467177630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211</v>
      </c>
      <c r="H155" s="99">
        <f t="shared" si="15"/>
        <v>0</v>
      </c>
      <c r="I155" s="99">
        <f t="shared" si="13"/>
        <v>-42200000</v>
      </c>
      <c r="J155" s="99">
        <f t="shared" si="16"/>
        <v>0</v>
      </c>
      <c r="K155" s="99">
        <f t="shared" si="17"/>
        <v>-42200000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211</v>
      </c>
      <c r="H156" s="99">
        <f t="shared" si="15"/>
        <v>0</v>
      </c>
      <c r="I156" s="99">
        <f t="shared" si="13"/>
        <v>-52294240</v>
      </c>
      <c r="J156" s="99">
        <f t="shared" si="16"/>
        <v>0</v>
      </c>
      <c r="K156" s="99">
        <f t="shared" si="17"/>
        <v>-52294240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210</v>
      </c>
      <c r="H157" s="99">
        <f t="shared" si="15"/>
        <v>0</v>
      </c>
      <c r="I157" s="99">
        <f t="shared" si="13"/>
        <v>-34091400</v>
      </c>
      <c r="J157" s="99">
        <f t="shared" si="16"/>
        <v>0</v>
      </c>
      <c r="K157" s="99">
        <f t="shared" si="17"/>
        <v>-34091400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210</v>
      </c>
      <c r="H158" s="99">
        <f t="shared" si="15"/>
        <v>0</v>
      </c>
      <c r="I158" s="99">
        <f t="shared" si="13"/>
        <v>-630189000</v>
      </c>
      <c r="J158" s="99">
        <f t="shared" si="16"/>
        <v>0</v>
      </c>
      <c r="K158" s="99">
        <f t="shared" si="17"/>
        <v>-630189000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208</v>
      </c>
      <c r="H159" s="99">
        <f t="shared" si="15"/>
        <v>0</v>
      </c>
      <c r="I159" s="99">
        <f t="shared" si="13"/>
        <v>-208104000</v>
      </c>
      <c r="J159" s="99">
        <f t="shared" si="16"/>
        <v>0</v>
      </c>
      <c r="K159" s="99">
        <f t="shared" si="17"/>
        <v>-208104000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204</v>
      </c>
      <c r="H160" s="99">
        <f t="shared" si="15"/>
        <v>0</v>
      </c>
      <c r="I160" s="99">
        <f t="shared" si="13"/>
        <v>-20400000</v>
      </c>
      <c r="J160" s="99">
        <f t="shared" si="16"/>
        <v>0</v>
      </c>
      <c r="K160" s="99">
        <f t="shared" si="17"/>
        <v>-20400000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203</v>
      </c>
      <c r="H161" s="99">
        <f t="shared" si="15"/>
        <v>0</v>
      </c>
      <c r="I161" s="99">
        <f t="shared" si="13"/>
        <v>-406000000</v>
      </c>
      <c r="J161" s="99">
        <f t="shared" si="16"/>
        <v>0</v>
      </c>
      <c r="K161" s="99">
        <f t="shared" si="17"/>
        <v>-406000000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203</v>
      </c>
      <c r="H162" s="99">
        <f t="shared" si="15"/>
        <v>0</v>
      </c>
      <c r="I162" s="99">
        <f t="shared" si="13"/>
        <v>-203101500</v>
      </c>
      <c r="J162" s="99">
        <f t="shared" si="16"/>
        <v>0</v>
      </c>
      <c r="K162" s="99">
        <f t="shared" si="17"/>
        <v>-203101500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200</v>
      </c>
      <c r="H163" s="99">
        <f t="shared" si="15"/>
        <v>0</v>
      </c>
      <c r="I163" s="99">
        <f t="shared" si="13"/>
        <v>-1000000</v>
      </c>
      <c r="J163" s="99">
        <f t="shared" si="16"/>
        <v>0</v>
      </c>
      <c r="K163" s="99">
        <f t="shared" si="17"/>
        <v>-1000000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190</v>
      </c>
      <c r="H164" s="99">
        <f t="shared" si="15"/>
        <v>1</v>
      </c>
      <c r="I164" s="99">
        <f t="shared" si="13"/>
        <v>567000000</v>
      </c>
      <c r="J164" s="99">
        <f t="shared" si="16"/>
        <v>0</v>
      </c>
      <c r="K164" s="99">
        <f t="shared" si="17"/>
        <v>567000000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189</v>
      </c>
      <c r="H165" s="99">
        <f t="shared" si="15"/>
        <v>1</v>
      </c>
      <c r="I165" s="99">
        <f t="shared" si="13"/>
        <v>564000000</v>
      </c>
      <c r="J165" s="99">
        <f t="shared" si="16"/>
        <v>0</v>
      </c>
      <c r="K165" s="99">
        <f t="shared" si="17"/>
        <v>564000000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188</v>
      </c>
      <c r="H166" s="99">
        <f t="shared" si="15"/>
        <v>1</v>
      </c>
      <c r="I166" s="99">
        <f t="shared" si="13"/>
        <v>3798718</v>
      </c>
      <c r="J166" s="99">
        <f t="shared" si="16"/>
        <v>11190454</v>
      </c>
      <c r="K166" s="99">
        <f t="shared" si="17"/>
        <v>-7391736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183</v>
      </c>
      <c r="H167" s="99">
        <f t="shared" si="15"/>
        <v>0</v>
      </c>
      <c r="I167" s="99">
        <f t="shared" si="13"/>
        <v>-549164700</v>
      </c>
      <c r="J167" s="99">
        <f t="shared" si="16"/>
        <v>0</v>
      </c>
      <c r="K167" s="99">
        <f t="shared" si="17"/>
        <v>-549164700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165</v>
      </c>
      <c r="H168" s="99">
        <f t="shared" si="15"/>
        <v>0</v>
      </c>
      <c r="I168" s="99">
        <f t="shared" si="13"/>
        <v>-495148500</v>
      </c>
      <c r="J168" s="99">
        <f t="shared" si="16"/>
        <v>0</v>
      </c>
      <c r="K168" s="99">
        <f t="shared" si="17"/>
        <v>-495148500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157</v>
      </c>
      <c r="H169" s="99">
        <f t="shared" si="15"/>
        <v>1</v>
      </c>
      <c r="I169" s="99">
        <f t="shared" si="13"/>
        <v>3385980</v>
      </c>
      <c r="J169" s="99">
        <f t="shared" si="16"/>
        <v>10688340</v>
      </c>
      <c r="K169" s="99">
        <f t="shared" si="17"/>
        <v>-7302360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133</v>
      </c>
      <c r="H170" s="99">
        <f t="shared" si="15"/>
        <v>1</v>
      </c>
      <c r="I170" s="99">
        <f t="shared" si="13"/>
        <v>660000000</v>
      </c>
      <c r="J170" s="99">
        <f t="shared" si="16"/>
        <v>0</v>
      </c>
      <c r="K170" s="99">
        <f t="shared" si="17"/>
        <v>660000000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132</v>
      </c>
      <c r="H171" s="99">
        <f t="shared" si="15"/>
        <v>0</v>
      </c>
      <c r="I171" s="99">
        <f t="shared" si="13"/>
        <v>-660000000</v>
      </c>
      <c r="J171" s="99">
        <f t="shared" si="16"/>
        <v>0</v>
      </c>
      <c r="K171" s="99">
        <f t="shared" si="17"/>
        <v>-660000000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126</v>
      </c>
      <c r="H172" s="99">
        <f t="shared" si="15"/>
        <v>1</v>
      </c>
      <c r="I172" s="99">
        <f t="shared" si="13"/>
        <v>62000</v>
      </c>
      <c r="J172" s="99">
        <f t="shared" si="16"/>
        <v>7835125</v>
      </c>
      <c r="K172" s="99">
        <f t="shared" si="17"/>
        <v>-7773125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125</v>
      </c>
      <c r="H173" s="99">
        <f t="shared" si="15"/>
        <v>1</v>
      </c>
      <c r="I173" s="99">
        <f t="shared" si="13"/>
        <v>97340000</v>
      </c>
      <c r="J173" s="99">
        <f t="shared" si="16"/>
        <v>0</v>
      </c>
      <c r="K173" s="99">
        <f t="shared" si="17"/>
        <v>97340000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114</v>
      </c>
      <c r="H174" s="99">
        <f t="shared" si="15"/>
        <v>0</v>
      </c>
      <c r="I174" s="99">
        <f t="shared" si="13"/>
        <v>-3648000</v>
      </c>
      <c r="J174" s="99">
        <f t="shared" si="16"/>
        <v>0</v>
      </c>
      <c r="K174" s="99">
        <f t="shared" si="17"/>
        <v>-3648000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112</v>
      </c>
      <c r="H175" s="99">
        <f t="shared" si="15"/>
        <v>0</v>
      </c>
      <c r="I175" s="99">
        <f t="shared" si="13"/>
        <v>-84000000</v>
      </c>
      <c r="J175" s="99">
        <f t="shared" si="16"/>
        <v>0</v>
      </c>
      <c r="K175" s="99">
        <f t="shared" si="17"/>
        <v>-84000000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103</v>
      </c>
      <c r="H176" s="99">
        <f t="shared" si="15"/>
        <v>0</v>
      </c>
      <c r="I176" s="99">
        <f t="shared" si="13"/>
        <v>-967788</v>
      </c>
      <c r="J176" s="99">
        <f t="shared" si="16"/>
        <v>0</v>
      </c>
      <c r="K176" s="99">
        <f t="shared" si="17"/>
        <v>-967788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102</v>
      </c>
      <c r="H177" s="99">
        <f t="shared" si="15"/>
        <v>0</v>
      </c>
      <c r="I177" s="99">
        <f t="shared" si="13"/>
        <v>-4416600</v>
      </c>
      <c r="J177" s="99">
        <f t="shared" si="16"/>
        <v>0</v>
      </c>
      <c r="K177" s="99">
        <f t="shared" si="17"/>
        <v>-4416600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99</v>
      </c>
      <c r="H178" s="99">
        <f t="shared" si="15"/>
        <v>1</v>
      </c>
      <c r="I178" s="99">
        <f t="shared" si="13"/>
        <v>35280000</v>
      </c>
      <c r="J178" s="99">
        <f t="shared" si="16"/>
        <v>0</v>
      </c>
      <c r="K178" s="99">
        <f t="shared" si="17"/>
        <v>35280000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97</v>
      </c>
      <c r="H179" s="99">
        <f t="shared" si="15"/>
        <v>1</v>
      </c>
      <c r="I179" s="99">
        <f t="shared" si="13"/>
        <v>288000000</v>
      </c>
      <c r="J179" s="99">
        <f t="shared" si="16"/>
        <v>0</v>
      </c>
      <c r="K179" s="99">
        <f t="shared" si="17"/>
        <v>288000000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97</v>
      </c>
      <c r="H180" s="99">
        <f t="shared" si="15"/>
        <v>0</v>
      </c>
      <c r="I180" s="99">
        <f t="shared" si="13"/>
        <v>-1168850</v>
      </c>
      <c r="J180" s="99">
        <f t="shared" si="16"/>
        <v>0</v>
      </c>
      <c r="K180" s="99">
        <f t="shared" si="17"/>
        <v>-1168850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95</v>
      </c>
      <c r="H181" s="99">
        <f t="shared" si="15"/>
        <v>1</v>
      </c>
      <c r="I181" s="99">
        <f t="shared" si="13"/>
        <v>282000000</v>
      </c>
      <c r="J181" s="99">
        <f t="shared" si="16"/>
        <v>0</v>
      </c>
      <c r="K181" s="99">
        <f t="shared" si="17"/>
        <v>282000000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93</v>
      </c>
      <c r="H182" s="99">
        <f t="shared" si="15"/>
        <v>0</v>
      </c>
      <c r="I182" s="99">
        <f t="shared" si="13"/>
        <v>-3329400</v>
      </c>
      <c r="J182" s="99">
        <f t="shared" si="16"/>
        <v>0</v>
      </c>
      <c r="K182" s="99">
        <f t="shared" si="17"/>
        <v>-3329400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92</v>
      </c>
      <c r="H183" s="99">
        <f t="shared" si="15"/>
        <v>1</v>
      </c>
      <c r="I183" s="99">
        <f t="shared" si="13"/>
        <v>327600000</v>
      </c>
      <c r="J183" s="99">
        <f t="shared" si="16"/>
        <v>0</v>
      </c>
      <c r="K183" s="99">
        <f t="shared" si="17"/>
        <v>327600000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92</v>
      </c>
      <c r="H184" s="99">
        <f t="shared" si="15"/>
        <v>0</v>
      </c>
      <c r="I184" s="99">
        <f t="shared" si="13"/>
        <v>-3070684</v>
      </c>
      <c r="J184" s="99">
        <f t="shared" si="16"/>
        <v>0</v>
      </c>
      <c r="K184" s="99">
        <f t="shared" si="17"/>
        <v>-3070684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89</v>
      </c>
      <c r="H185" s="99">
        <f t="shared" si="15"/>
        <v>0</v>
      </c>
      <c r="I185" s="99">
        <f t="shared" si="13"/>
        <v>-872200000</v>
      </c>
      <c r="J185" s="99">
        <f t="shared" si="16"/>
        <v>0</v>
      </c>
      <c r="K185" s="99">
        <f t="shared" si="17"/>
        <v>-872200000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89</v>
      </c>
      <c r="H186" s="99">
        <f t="shared" si="15"/>
        <v>1</v>
      </c>
      <c r="I186" s="99">
        <f t="shared" si="13"/>
        <v>1584000000</v>
      </c>
      <c r="J186" s="99">
        <f t="shared" si="16"/>
        <v>0</v>
      </c>
      <c r="K186" s="99">
        <f t="shared" si="17"/>
        <v>1584000000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89</v>
      </c>
      <c r="H187" s="99">
        <f t="shared" si="15"/>
        <v>0</v>
      </c>
      <c r="I187" s="99">
        <f t="shared" si="13"/>
        <v>-801000000</v>
      </c>
      <c r="J187" s="99">
        <f t="shared" si="16"/>
        <v>0</v>
      </c>
      <c r="K187" s="99">
        <f t="shared" si="17"/>
        <v>-801000000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89</v>
      </c>
      <c r="H188" s="99">
        <f t="shared" si="15"/>
        <v>0</v>
      </c>
      <c r="I188" s="99">
        <f t="shared" si="13"/>
        <v>-1032400</v>
      </c>
      <c r="J188" s="99">
        <f t="shared" si="16"/>
        <v>0</v>
      </c>
      <c r="K188" s="99">
        <f t="shared" si="17"/>
        <v>-1032400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89</v>
      </c>
      <c r="H189" s="99">
        <f t="shared" si="15"/>
        <v>0</v>
      </c>
      <c r="I189" s="99">
        <f t="shared" si="13"/>
        <v>-294085103</v>
      </c>
      <c r="J189" s="99">
        <f t="shared" si="16"/>
        <v>0</v>
      </c>
      <c r="K189" s="99">
        <f t="shared" si="17"/>
        <v>-294085103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88</v>
      </c>
      <c r="H190" s="99">
        <f t="shared" si="15"/>
        <v>0</v>
      </c>
      <c r="I190" s="99">
        <f t="shared" si="13"/>
        <v>-264079200</v>
      </c>
      <c r="J190" s="99">
        <f t="shared" si="16"/>
        <v>0</v>
      </c>
      <c r="K190" s="99">
        <f t="shared" si="17"/>
        <v>-264079200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87</v>
      </c>
      <c r="H191" s="99">
        <f t="shared" si="15"/>
        <v>0</v>
      </c>
      <c r="I191" s="99">
        <f t="shared" si="13"/>
        <v>-240198300</v>
      </c>
      <c r="J191" s="99">
        <f t="shared" si="16"/>
        <v>0</v>
      </c>
      <c r="K191" s="99">
        <f t="shared" si="17"/>
        <v>-240198300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82</v>
      </c>
      <c r="H192" s="99">
        <f t="shared" si="15"/>
        <v>1</v>
      </c>
      <c r="I192" s="99">
        <f t="shared" si="13"/>
        <v>81000000</v>
      </c>
      <c r="J192" s="99">
        <f t="shared" si="16"/>
        <v>0</v>
      </c>
      <c r="K192" s="99">
        <f t="shared" si="17"/>
        <v>81000000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81</v>
      </c>
      <c r="H193" s="99">
        <f t="shared" si="15"/>
        <v>0</v>
      </c>
      <c r="I193" s="99">
        <f t="shared" si="13"/>
        <v>-1215000</v>
      </c>
      <c r="J193" s="99">
        <f t="shared" si="16"/>
        <v>0</v>
      </c>
      <c r="K193" s="99">
        <f t="shared" si="17"/>
        <v>-1215000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79</v>
      </c>
      <c r="H194" s="99">
        <f t="shared" si="15"/>
        <v>0</v>
      </c>
      <c r="I194" s="99">
        <f t="shared" si="13"/>
        <v>-78210000</v>
      </c>
      <c r="J194" s="99">
        <f t="shared" si="16"/>
        <v>0</v>
      </c>
      <c r="K194" s="99">
        <f t="shared" si="17"/>
        <v>-78210000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79</v>
      </c>
      <c r="H195" s="99">
        <f t="shared" si="15"/>
        <v>1</v>
      </c>
      <c r="I195" s="99">
        <f t="shared" si="13"/>
        <v>61074000</v>
      </c>
      <c r="J195" s="99">
        <f t="shared" si="16"/>
        <v>0</v>
      </c>
      <c r="K195" s="99">
        <f t="shared" si="17"/>
        <v>61074000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77</v>
      </c>
      <c r="H196" s="99">
        <f t="shared" si="15"/>
        <v>0</v>
      </c>
      <c r="I196" s="99">
        <f t="shared" si="13"/>
        <v>-57788500</v>
      </c>
      <c r="J196" s="99">
        <f t="shared" si="16"/>
        <v>0</v>
      </c>
      <c r="K196" s="99">
        <f t="shared" si="17"/>
        <v>-57788500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75</v>
      </c>
      <c r="H197" s="99">
        <f t="shared" si="15"/>
        <v>1</v>
      </c>
      <c r="I197" s="99">
        <f t="shared" si="13"/>
        <v>51800000</v>
      </c>
      <c r="J197" s="99">
        <f t="shared" si="16"/>
        <v>0</v>
      </c>
      <c r="K197" s="99">
        <f t="shared" si="17"/>
        <v>51800000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75</v>
      </c>
      <c r="H198" s="99">
        <f t="shared" si="15"/>
        <v>0</v>
      </c>
      <c r="I198" s="99">
        <f t="shared" si="13"/>
        <v>-7425000</v>
      </c>
      <c r="J198" s="99">
        <f t="shared" si="16"/>
        <v>0</v>
      </c>
      <c r="K198" s="99">
        <f t="shared" si="17"/>
        <v>-7425000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74</v>
      </c>
      <c r="H199" s="99">
        <f t="shared" si="15"/>
        <v>0</v>
      </c>
      <c r="I199" s="99">
        <f t="shared" si="13"/>
        <v>-15225500</v>
      </c>
      <c r="J199" s="99">
        <f t="shared" si="16"/>
        <v>0</v>
      </c>
      <c r="K199" s="99">
        <f t="shared" si="17"/>
        <v>-15225500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74</v>
      </c>
      <c r="H200" s="99">
        <f t="shared" si="15"/>
        <v>0</v>
      </c>
      <c r="I200" s="99">
        <f t="shared" si="13"/>
        <v>-7030000</v>
      </c>
      <c r="J200" s="99">
        <f t="shared" si="16"/>
        <v>0</v>
      </c>
      <c r="K200" s="99">
        <f t="shared" si="17"/>
        <v>-7030000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71</v>
      </c>
      <c r="H201" s="99">
        <f t="shared" si="15"/>
        <v>1</v>
      </c>
      <c r="I201" s="99">
        <f t="shared" si="13"/>
        <v>3405500000</v>
      </c>
      <c r="J201" s="99">
        <f t="shared" si="16"/>
        <v>0</v>
      </c>
      <c r="K201" s="99">
        <f t="shared" si="17"/>
        <v>3405500000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71</v>
      </c>
      <c r="H202" s="99">
        <f t="shared" si="15"/>
        <v>0</v>
      </c>
      <c r="I202" s="99">
        <f t="shared" si="13"/>
        <v>-213063900</v>
      </c>
      <c r="J202" s="99">
        <f t="shared" si="16"/>
        <v>0</v>
      </c>
      <c r="K202" s="99">
        <f t="shared" si="17"/>
        <v>-213063900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71</v>
      </c>
      <c r="H203" s="99">
        <f t="shared" si="15"/>
        <v>0</v>
      </c>
      <c r="I203" s="99">
        <f t="shared" si="13"/>
        <v>-355000</v>
      </c>
      <c r="J203" s="99">
        <f t="shared" si="16"/>
        <v>0</v>
      </c>
      <c r="K203" s="99">
        <f t="shared" si="17"/>
        <v>-355000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71</v>
      </c>
      <c r="H204" s="99">
        <f t="shared" si="15"/>
        <v>0</v>
      </c>
      <c r="I204" s="99">
        <f t="shared" si="13"/>
        <v>-2378500000</v>
      </c>
      <c r="J204" s="99">
        <f t="shared" si="16"/>
        <v>0</v>
      </c>
      <c r="K204" s="99">
        <f t="shared" si="17"/>
        <v>-2378500000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70</v>
      </c>
      <c r="H205" s="99">
        <f t="shared" si="15"/>
        <v>0</v>
      </c>
      <c r="I205" s="99">
        <f t="shared" si="13"/>
        <v>-870450000</v>
      </c>
      <c r="J205" s="99">
        <f t="shared" si="16"/>
        <v>0</v>
      </c>
      <c r="K205" s="99">
        <f t="shared" si="17"/>
        <v>-870450000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67</v>
      </c>
      <c r="H206" s="99">
        <f t="shared" si="15"/>
        <v>0</v>
      </c>
      <c r="I206" s="99">
        <f t="shared" si="13"/>
        <v>-1239500</v>
      </c>
      <c r="J206" s="99">
        <f t="shared" si="16"/>
        <v>0</v>
      </c>
      <c r="K206" s="99">
        <f t="shared" si="17"/>
        <v>-1239500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65</v>
      </c>
      <c r="H207" s="99">
        <f t="shared" si="15"/>
        <v>1</v>
      </c>
      <c r="I207" s="99">
        <f t="shared" si="13"/>
        <v>926720</v>
      </c>
      <c r="J207" s="99">
        <f t="shared" ref="J207:J266" si="20">C207*(G207-H207)</f>
        <v>4535936</v>
      </c>
      <c r="K207" s="99">
        <f t="shared" si="17"/>
        <v>-3609216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64</v>
      </c>
      <c r="H208" s="99">
        <f t="shared" si="15"/>
        <v>1</v>
      </c>
      <c r="I208" s="99">
        <f t="shared" si="13"/>
        <v>52290000</v>
      </c>
      <c r="J208" s="99">
        <f t="shared" si="20"/>
        <v>0</v>
      </c>
      <c r="K208" s="99">
        <f t="shared" si="17"/>
        <v>52290000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62</v>
      </c>
      <c r="H209" s="99">
        <f t="shared" si="15"/>
        <v>0</v>
      </c>
      <c r="I209" s="99">
        <f t="shared" si="13"/>
        <v>-3251280</v>
      </c>
      <c r="J209" s="99">
        <f t="shared" si="20"/>
        <v>0</v>
      </c>
      <c r="K209" s="99">
        <f t="shared" si="17"/>
        <v>-3251280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61</v>
      </c>
      <c r="H210" s="99">
        <f t="shared" si="15"/>
        <v>0</v>
      </c>
      <c r="I210" s="99">
        <f t="shared" si="13"/>
        <v>-3117100</v>
      </c>
      <c r="J210" s="99">
        <f t="shared" si="20"/>
        <v>0</v>
      </c>
      <c r="K210" s="99">
        <f t="shared" si="17"/>
        <v>-3117100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60</v>
      </c>
      <c r="H211" s="99">
        <f t="shared" si="15"/>
        <v>0</v>
      </c>
      <c r="I211" s="99">
        <f t="shared" si="13"/>
        <v>-12000000</v>
      </c>
      <c r="J211" s="99">
        <f t="shared" si="20"/>
        <v>0</v>
      </c>
      <c r="K211" s="99">
        <f t="shared" si="17"/>
        <v>-12000000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59</v>
      </c>
      <c r="H212" s="99">
        <f t="shared" si="15"/>
        <v>0</v>
      </c>
      <c r="I212" s="99">
        <f t="shared" si="13"/>
        <v>-1652000</v>
      </c>
      <c r="J212" s="99">
        <f t="shared" si="20"/>
        <v>0</v>
      </c>
      <c r="K212" s="99">
        <f t="shared" si="17"/>
        <v>-1652000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58</v>
      </c>
      <c r="H213" s="99">
        <f t="shared" si="15"/>
        <v>0</v>
      </c>
      <c r="I213" s="99">
        <f t="shared" si="13"/>
        <v>-3427800</v>
      </c>
      <c r="J213" s="99">
        <f t="shared" si="20"/>
        <v>0</v>
      </c>
      <c r="K213" s="99">
        <f t="shared" si="17"/>
        <v>-3427800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57</v>
      </c>
      <c r="H214" s="99">
        <f t="shared" si="15"/>
        <v>0</v>
      </c>
      <c r="I214" s="99">
        <f t="shared" si="13"/>
        <v>-1710000</v>
      </c>
      <c r="J214" s="99">
        <f t="shared" si="20"/>
        <v>0</v>
      </c>
      <c r="K214" s="99">
        <f t="shared" si="17"/>
        <v>-1710000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57</v>
      </c>
      <c r="H215" s="99">
        <f t="shared" si="15"/>
        <v>0</v>
      </c>
      <c r="I215" s="99">
        <f t="shared" si="13"/>
        <v>-10146000</v>
      </c>
      <c r="J215" s="99">
        <f t="shared" si="20"/>
        <v>0</v>
      </c>
      <c r="K215" s="99">
        <f t="shared" si="17"/>
        <v>-10146000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56</v>
      </c>
      <c r="H216" s="99">
        <f t="shared" si="15"/>
        <v>0</v>
      </c>
      <c r="I216" s="99">
        <f t="shared" si="13"/>
        <v>-5354160</v>
      </c>
      <c r="J216" s="99">
        <f t="shared" si="20"/>
        <v>0</v>
      </c>
      <c r="K216" s="99">
        <f t="shared" si="17"/>
        <v>-5354160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53</v>
      </c>
      <c r="H217" s="99">
        <f t="shared" si="15"/>
        <v>0</v>
      </c>
      <c r="I217" s="99">
        <f t="shared" si="13"/>
        <v>-4452000</v>
      </c>
      <c r="J217" s="99">
        <f t="shared" si="20"/>
        <v>0</v>
      </c>
      <c r="K217" s="99">
        <f t="shared" si="17"/>
        <v>-4452000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51</v>
      </c>
      <c r="H218" s="99">
        <f t="shared" si="15"/>
        <v>0</v>
      </c>
      <c r="I218" s="99">
        <f t="shared" si="13"/>
        <v>-1683000</v>
      </c>
      <c r="J218" s="99">
        <f t="shared" si="20"/>
        <v>0</v>
      </c>
      <c r="K218" s="99">
        <f t="shared" si="17"/>
        <v>-1683000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48</v>
      </c>
      <c r="H219" s="99">
        <f t="shared" si="15"/>
        <v>1</v>
      </c>
      <c r="I219" s="99">
        <f t="shared" si="13"/>
        <v>72756000</v>
      </c>
      <c r="J219" s="99">
        <f t="shared" si="20"/>
        <v>0</v>
      </c>
      <c r="K219" s="99">
        <f t="shared" si="17"/>
        <v>72756000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47</v>
      </c>
      <c r="H220" s="99">
        <f t="shared" si="15"/>
        <v>0</v>
      </c>
      <c r="I220" s="99">
        <f t="shared" si="13"/>
        <v>-65832900</v>
      </c>
      <c r="J220" s="99">
        <f t="shared" si="20"/>
        <v>0</v>
      </c>
      <c r="K220" s="99">
        <f t="shared" si="17"/>
        <v>-65832900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47</v>
      </c>
      <c r="H221" s="99">
        <f t="shared" si="15"/>
        <v>0</v>
      </c>
      <c r="I221" s="99">
        <f t="shared" si="13"/>
        <v>-470000</v>
      </c>
      <c r="J221" s="99">
        <f t="shared" si="20"/>
        <v>0</v>
      </c>
      <c r="K221" s="99">
        <f t="shared" si="17"/>
        <v>-470000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47</v>
      </c>
      <c r="H222" s="99">
        <f t="shared" si="15"/>
        <v>0</v>
      </c>
      <c r="I222" s="99">
        <f t="shared" si="13"/>
        <v>-235000</v>
      </c>
      <c r="J222" s="99">
        <f t="shared" si="20"/>
        <v>-117500</v>
      </c>
      <c r="K222" s="99">
        <f t="shared" si="17"/>
        <v>-117500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41</v>
      </c>
      <c r="H223" s="99">
        <f t="shared" si="15"/>
        <v>0</v>
      </c>
      <c r="I223" s="99">
        <f t="shared" si="13"/>
        <v>-7790000</v>
      </c>
      <c r="J223" s="99">
        <f t="shared" si="20"/>
        <v>0</v>
      </c>
      <c r="K223" s="99">
        <f t="shared" si="17"/>
        <v>-7790000</v>
      </c>
      <c r="M223" t="s">
        <v>25</v>
      </c>
    </row>
    <row r="224" spans="1:13">
      <c r="A224" s="99" t="s">
        <v>4311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34</v>
      </c>
      <c r="H224" s="99">
        <f t="shared" si="15"/>
        <v>1</v>
      </c>
      <c r="I224" s="99">
        <f t="shared" si="13"/>
        <v>63063</v>
      </c>
      <c r="J224" s="99">
        <f t="shared" si="20"/>
        <v>2144076</v>
      </c>
      <c r="K224" s="99">
        <f t="shared" si="17"/>
        <v>-2081013</v>
      </c>
      <c r="M224" t="s">
        <v>25</v>
      </c>
    </row>
    <row r="225" spans="1:13">
      <c r="A225" s="99" t="s">
        <v>4335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28</v>
      </c>
      <c r="H225" s="99">
        <f t="shared" si="15"/>
        <v>1</v>
      </c>
      <c r="I225" s="99">
        <f t="shared" si="13"/>
        <v>135000000</v>
      </c>
      <c r="J225" s="99">
        <f t="shared" si="20"/>
        <v>0</v>
      </c>
      <c r="K225" s="99">
        <f t="shared" si="17"/>
        <v>135000000</v>
      </c>
    </row>
    <row r="226" spans="1:13">
      <c r="A226" s="99" t="s">
        <v>4341</v>
      </c>
      <c r="B226" s="18">
        <v>-3200000</v>
      </c>
      <c r="C226" s="18">
        <v>0</v>
      </c>
      <c r="D226" s="18">
        <f t="shared" si="18"/>
        <v>-3200000</v>
      </c>
      <c r="E226" s="99" t="s">
        <v>4355</v>
      </c>
      <c r="F226" s="99">
        <v>0</v>
      </c>
      <c r="G226" s="36">
        <f t="shared" si="21"/>
        <v>27</v>
      </c>
      <c r="H226" s="99">
        <f t="shared" si="15"/>
        <v>0</v>
      </c>
      <c r="I226" s="99">
        <f t="shared" si="13"/>
        <v>-86400000</v>
      </c>
      <c r="J226" s="99">
        <f t="shared" si="20"/>
        <v>0</v>
      </c>
      <c r="K226" s="99">
        <f t="shared" si="17"/>
        <v>-86400000</v>
      </c>
    </row>
    <row r="227" spans="1:13">
      <c r="A227" s="99" t="s">
        <v>4341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27</v>
      </c>
      <c r="H227" s="99">
        <f t="shared" si="15"/>
        <v>1</v>
      </c>
      <c r="I227" s="99">
        <f t="shared" si="13"/>
        <v>62400000</v>
      </c>
      <c r="J227" s="99">
        <f t="shared" si="20"/>
        <v>0</v>
      </c>
      <c r="K227" s="99">
        <f t="shared" si="17"/>
        <v>62400000</v>
      </c>
    </row>
    <row r="228" spans="1:13">
      <c r="A228" s="99" t="s">
        <v>4372</v>
      </c>
      <c r="B228" s="18">
        <v>-50000</v>
      </c>
      <c r="C228" s="18">
        <v>0</v>
      </c>
      <c r="D228" s="18">
        <f t="shared" si="18"/>
        <v>-50000</v>
      </c>
      <c r="E228" s="99" t="s">
        <v>4376</v>
      </c>
      <c r="F228" s="99">
        <v>1</v>
      </c>
      <c r="G228" s="36">
        <f t="shared" si="21"/>
        <v>25</v>
      </c>
      <c r="H228" s="99">
        <f t="shared" si="15"/>
        <v>0</v>
      </c>
      <c r="I228" s="99">
        <f t="shared" si="13"/>
        <v>-1250000</v>
      </c>
      <c r="J228" s="99">
        <f t="shared" si="20"/>
        <v>0</v>
      </c>
      <c r="K228" s="99">
        <f t="shared" si="17"/>
        <v>-1250000</v>
      </c>
    </row>
    <row r="229" spans="1:13">
      <c r="A229" s="99" t="s">
        <v>4365</v>
      </c>
      <c r="B229" s="18">
        <v>-4100700</v>
      </c>
      <c r="C229" s="18">
        <v>0</v>
      </c>
      <c r="D229" s="18">
        <f t="shared" si="18"/>
        <v>-4100700</v>
      </c>
      <c r="E229" s="99" t="s">
        <v>4377</v>
      </c>
      <c r="F229" s="99">
        <v>4</v>
      </c>
      <c r="G229" s="36">
        <f t="shared" si="21"/>
        <v>24</v>
      </c>
      <c r="H229" s="99">
        <f t="shared" si="15"/>
        <v>0</v>
      </c>
      <c r="I229" s="99">
        <f t="shared" si="13"/>
        <v>-98416800</v>
      </c>
      <c r="J229" s="99">
        <f t="shared" si="20"/>
        <v>0</v>
      </c>
      <c r="K229" s="99">
        <f t="shared" si="17"/>
        <v>-98416800</v>
      </c>
    </row>
    <row r="230" spans="1:13">
      <c r="A230" s="99" t="s">
        <v>4386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20</v>
      </c>
      <c r="H230" s="99">
        <f t="shared" si="15"/>
        <v>1</v>
      </c>
      <c r="I230" s="99">
        <f t="shared" si="13"/>
        <v>184300000</v>
      </c>
      <c r="J230" s="99">
        <f t="shared" si="20"/>
        <v>0</v>
      </c>
      <c r="K230" s="99">
        <f t="shared" si="17"/>
        <v>184300000</v>
      </c>
    </row>
    <row r="231" spans="1:13">
      <c r="A231" s="99" t="s">
        <v>4386</v>
      </c>
      <c r="B231" s="18">
        <v>-3000900</v>
      </c>
      <c r="C231" s="18">
        <v>0</v>
      </c>
      <c r="D231" s="18">
        <f t="shared" si="18"/>
        <v>-3000900</v>
      </c>
      <c r="E231" s="99" t="s">
        <v>4395</v>
      </c>
      <c r="F231" s="99">
        <v>1</v>
      </c>
      <c r="G231" s="36">
        <f t="shared" si="21"/>
        <v>20</v>
      </c>
      <c r="H231" s="99">
        <f t="shared" si="15"/>
        <v>0</v>
      </c>
      <c r="I231" s="99">
        <f t="shared" si="13"/>
        <v>-60018000</v>
      </c>
      <c r="J231" s="99">
        <f t="shared" si="20"/>
        <v>0</v>
      </c>
      <c r="K231" s="99">
        <f t="shared" si="17"/>
        <v>-60018000</v>
      </c>
    </row>
    <row r="232" spans="1:13">
      <c r="A232" s="99" t="s">
        <v>4387</v>
      </c>
      <c r="B232" s="18">
        <v>-3000900</v>
      </c>
      <c r="C232" s="18">
        <v>0</v>
      </c>
      <c r="D232" s="18">
        <f t="shared" si="18"/>
        <v>-3000900</v>
      </c>
      <c r="E232" s="99" t="s">
        <v>4395</v>
      </c>
      <c r="F232" s="99">
        <v>0</v>
      </c>
      <c r="G232" s="36">
        <f t="shared" si="21"/>
        <v>19</v>
      </c>
      <c r="H232" s="99">
        <f t="shared" si="15"/>
        <v>0</v>
      </c>
      <c r="I232" s="99">
        <f t="shared" si="13"/>
        <v>-57017100</v>
      </c>
      <c r="J232" s="99">
        <f t="shared" si="20"/>
        <v>0</v>
      </c>
      <c r="K232" s="99">
        <f t="shared" si="17"/>
        <v>-57017100</v>
      </c>
    </row>
    <row r="233" spans="1:13">
      <c r="A233" s="99" t="s">
        <v>4387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19</v>
      </c>
      <c r="H233" s="99">
        <f t="shared" si="15"/>
        <v>0</v>
      </c>
      <c r="I233" s="99">
        <f t="shared" si="13"/>
        <v>-10545000</v>
      </c>
      <c r="J233" s="99">
        <f t="shared" si="20"/>
        <v>0</v>
      </c>
      <c r="K233" s="99">
        <f t="shared" si="17"/>
        <v>-10545000</v>
      </c>
    </row>
    <row r="234" spans="1:13">
      <c r="A234" s="99" t="s">
        <v>4410</v>
      </c>
      <c r="B234" s="18">
        <v>-138360</v>
      </c>
      <c r="C234" s="18">
        <v>0</v>
      </c>
      <c r="D234" s="18">
        <f t="shared" si="18"/>
        <v>-138360</v>
      </c>
      <c r="E234" s="99" t="s">
        <v>4412</v>
      </c>
      <c r="F234" s="99">
        <v>1</v>
      </c>
      <c r="G234" s="36">
        <f t="shared" si="21"/>
        <v>18</v>
      </c>
      <c r="H234" s="99">
        <f t="shared" si="15"/>
        <v>0</v>
      </c>
      <c r="I234" s="99">
        <f t="shared" si="13"/>
        <v>-2490480</v>
      </c>
      <c r="J234" s="99">
        <f t="shared" si="20"/>
        <v>0</v>
      </c>
      <c r="K234" s="99">
        <f t="shared" si="17"/>
        <v>-2490480</v>
      </c>
    </row>
    <row r="235" spans="1:13">
      <c r="A235" s="99" t="s">
        <v>4413</v>
      </c>
      <c r="B235" s="18">
        <v>-3000900</v>
      </c>
      <c r="C235" s="18">
        <v>0</v>
      </c>
      <c r="D235" s="18">
        <f t="shared" si="18"/>
        <v>-3000900</v>
      </c>
      <c r="E235" s="99" t="s">
        <v>4395</v>
      </c>
      <c r="F235" s="99">
        <v>2</v>
      </c>
      <c r="G235" s="36">
        <f t="shared" si="21"/>
        <v>17</v>
      </c>
      <c r="H235" s="99">
        <f t="shared" si="15"/>
        <v>0</v>
      </c>
      <c r="I235" s="99">
        <f t="shared" si="13"/>
        <v>-51015300</v>
      </c>
      <c r="J235" s="99">
        <f t="shared" si="20"/>
        <v>0</v>
      </c>
      <c r="K235" s="99">
        <f t="shared" si="17"/>
        <v>-51015300</v>
      </c>
      <c r="M235" t="s">
        <v>25</v>
      </c>
    </row>
    <row r="236" spans="1:13">
      <c r="A236" s="99" t="s">
        <v>4420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15</v>
      </c>
      <c r="H236" s="99">
        <f t="shared" si="15"/>
        <v>0</v>
      </c>
      <c r="I236" s="99">
        <f t="shared" si="13"/>
        <v>-825000</v>
      </c>
      <c r="J236" s="99">
        <f t="shared" si="20"/>
        <v>0</v>
      </c>
      <c r="K236" s="99">
        <f t="shared" si="17"/>
        <v>-825000</v>
      </c>
    </row>
    <row r="237" spans="1:13">
      <c r="A237" s="99" t="s">
        <v>4440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11</v>
      </c>
      <c r="H237" s="99">
        <f t="shared" si="15"/>
        <v>1</v>
      </c>
      <c r="I237" s="99">
        <f t="shared" si="13"/>
        <v>60350000</v>
      </c>
      <c r="J237" s="99">
        <f t="shared" si="20"/>
        <v>0</v>
      </c>
      <c r="K237" s="99">
        <f t="shared" si="17"/>
        <v>60350000</v>
      </c>
    </row>
    <row r="238" spans="1:13">
      <c r="A238" s="99" t="s">
        <v>4447</v>
      </c>
      <c r="B238" s="18">
        <v>-7500</v>
      </c>
      <c r="C238" s="18">
        <v>0</v>
      </c>
      <c r="D238" s="18">
        <f t="shared" si="18"/>
        <v>-7500</v>
      </c>
      <c r="E238" s="99" t="s">
        <v>4448</v>
      </c>
      <c r="F238" s="99">
        <v>1</v>
      </c>
      <c r="G238" s="36">
        <f t="shared" si="21"/>
        <v>9</v>
      </c>
      <c r="H238" s="99">
        <f t="shared" si="15"/>
        <v>0</v>
      </c>
      <c r="I238" s="99">
        <f t="shared" si="13"/>
        <v>-67500</v>
      </c>
      <c r="J238" s="99">
        <f t="shared" si="20"/>
        <v>0</v>
      </c>
      <c r="K238" s="99">
        <f t="shared" si="17"/>
        <v>-67500</v>
      </c>
    </row>
    <row r="239" spans="1:13">
      <c r="A239" s="99" t="s">
        <v>4449</v>
      </c>
      <c r="B239" s="18">
        <v>-4098523</v>
      </c>
      <c r="C239" s="18">
        <v>0</v>
      </c>
      <c r="D239" s="18">
        <f t="shared" si="18"/>
        <v>-4098523</v>
      </c>
      <c r="E239" s="99" t="s">
        <v>4450</v>
      </c>
      <c r="F239" s="99">
        <v>0</v>
      </c>
      <c r="G239" s="36">
        <f t="shared" si="21"/>
        <v>8</v>
      </c>
      <c r="H239" s="99">
        <f t="shared" si="15"/>
        <v>0</v>
      </c>
      <c r="I239" s="99">
        <f t="shared" si="13"/>
        <v>-32788184</v>
      </c>
      <c r="J239" s="99">
        <f t="shared" si="20"/>
        <v>0</v>
      </c>
      <c r="K239" s="99">
        <f t="shared" si="17"/>
        <v>-32788184</v>
      </c>
    </row>
    <row r="240" spans="1:13">
      <c r="A240" s="99" t="s">
        <v>4451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8</v>
      </c>
      <c r="H240" s="99">
        <f t="shared" si="15"/>
        <v>0</v>
      </c>
      <c r="I240" s="99">
        <f t="shared" si="13"/>
        <v>-265800</v>
      </c>
      <c r="J240" s="99">
        <f t="shared" si="20"/>
        <v>0</v>
      </c>
      <c r="K240" s="99">
        <f t="shared" si="17"/>
        <v>-265800</v>
      </c>
    </row>
    <row r="241" spans="1:13">
      <c r="A241" s="99" t="s">
        <v>4451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7</v>
      </c>
      <c r="G241" s="36">
        <f t="shared" si="21"/>
        <v>8</v>
      </c>
      <c r="H241" s="99">
        <f t="shared" si="15"/>
        <v>0</v>
      </c>
      <c r="I241" s="99">
        <f t="shared" si="13"/>
        <v>-15160000</v>
      </c>
      <c r="J241" s="99">
        <f t="shared" si="20"/>
        <v>0</v>
      </c>
      <c r="K241" s="99">
        <f t="shared" si="17"/>
        <v>-15160000</v>
      </c>
    </row>
    <row r="242" spans="1:13">
      <c r="A242" s="99" t="s">
        <v>4518</v>
      </c>
      <c r="B242" s="18">
        <v>2500000</v>
      </c>
      <c r="C242" s="18">
        <v>0</v>
      </c>
      <c r="D242" s="18">
        <f t="shared" si="18"/>
        <v>2500000</v>
      </c>
      <c r="E242" s="99" t="s">
        <v>3895</v>
      </c>
      <c r="F242" s="99">
        <v>1</v>
      </c>
      <c r="G242" s="36">
        <f t="shared" si="21"/>
        <v>1</v>
      </c>
      <c r="H242" s="99">
        <f t="shared" si="15"/>
        <v>1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2507770</v>
      </c>
      <c r="C267" s="29">
        <f>SUM(C2:C256)</f>
        <v>7968789</v>
      </c>
      <c r="D267" s="29">
        <f>SUM(D2:D254)</f>
        <v>-5461019</v>
      </c>
      <c r="E267" s="11"/>
      <c r="F267" s="11"/>
      <c r="G267" s="11"/>
      <c r="H267" s="11"/>
      <c r="I267" s="29">
        <f>SUM(I2:I266)</f>
        <v>18807554861</v>
      </c>
      <c r="J267" s="29">
        <f>SUM(J2:J266)</f>
        <v>8568153594</v>
      </c>
      <c r="K267" s="29">
        <f>SUM(K2:K266)</f>
        <v>10239401267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19611631.763295099</v>
      </c>
      <c r="J270" s="29">
        <f>J267/G2</f>
        <v>8934466.7299270071</v>
      </c>
      <c r="K270" s="29">
        <f>K267/G2</f>
        <v>10677165.033368092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-4264380</v>
      </c>
      <c r="G274" t="s">
        <v>25</v>
      </c>
      <c r="J274">
        <f>J267/I267*1448696</f>
        <v>659982.11520588072</v>
      </c>
      <c r="K274">
        <f>K267/I267*1448696</f>
        <v>788713.8847941194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4311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4291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4303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4310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4314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4311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4335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4341</v>
      </c>
      <c r="B4" s="18">
        <v>-3200000</v>
      </c>
      <c r="C4" s="18">
        <v>0</v>
      </c>
      <c r="D4" s="113">
        <f t="shared" si="0"/>
        <v>-3200000</v>
      </c>
      <c r="E4" s="99" t="s">
        <v>4354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4341</v>
      </c>
      <c r="B5" s="18">
        <v>2400000</v>
      </c>
      <c r="C5" s="18">
        <v>0</v>
      </c>
      <c r="D5" s="113">
        <f t="shared" si="0"/>
        <v>2400000</v>
      </c>
      <c r="E5" s="20" t="s">
        <v>4357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4365</v>
      </c>
      <c r="B6" s="18">
        <v>-2000700</v>
      </c>
      <c r="C6" s="18">
        <v>0</v>
      </c>
      <c r="D6" s="113">
        <f t="shared" si="0"/>
        <v>-2000700</v>
      </c>
      <c r="E6" s="19" t="s">
        <v>4366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4365</v>
      </c>
      <c r="B7" s="18">
        <v>-200000</v>
      </c>
      <c r="C7" s="18">
        <v>0</v>
      </c>
      <c r="D7" s="113">
        <f t="shared" si="0"/>
        <v>-200000</v>
      </c>
      <c r="E7" s="19" t="s">
        <v>4367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4365</v>
      </c>
      <c r="B8" s="18">
        <v>-1900000</v>
      </c>
      <c r="C8" s="18">
        <v>0</v>
      </c>
      <c r="D8" s="113">
        <f t="shared" si="0"/>
        <v>-1900000</v>
      </c>
      <c r="E8" s="19" t="s">
        <v>4368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4372</v>
      </c>
      <c r="B9" s="18">
        <v>-50000</v>
      </c>
      <c r="C9" s="18">
        <v>0</v>
      </c>
      <c r="D9" s="113">
        <f t="shared" si="0"/>
        <v>-50000</v>
      </c>
      <c r="E9" s="21" t="s">
        <v>4373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4386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4386</v>
      </c>
      <c r="B11" s="18">
        <v>-3000900</v>
      </c>
      <c r="C11" s="18">
        <v>0</v>
      </c>
      <c r="D11" s="113">
        <f t="shared" si="0"/>
        <v>-3000900</v>
      </c>
      <c r="E11" s="19" t="s">
        <v>4395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4387</v>
      </c>
      <c r="B12" s="18">
        <v>-3000900</v>
      </c>
      <c r="C12" s="18">
        <v>0</v>
      </c>
      <c r="D12" s="113">
        <f t="shared" si="0"/>
        <v>-3000900</v>
      </c>
      <c r="E12" s="20" t="s">
        <v>4395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4387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4410</v>
      </c>
      <c r="B14" s="18">
        <v>-138360</v>
      </c>
      <c r="C14" s="18">
        <v>0</v>
      </c>
      <c r="D14" s="113">
        <f t="shared" si="0"/>
        <v>-138360</v>
      </c>
      <c r="E14" s="20" t="s">
        <v>4411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4413</v>
      </c>
      <c r="B15" s="18">
        <v>-3000900</v>
      </c>
      <c r="C15" s="18">
        <v>0</v>
      </c>
      <c r="D15" s="117">
        <f t="shared" si="0"/>
        <v>-3000900</v>
      </c>
      <c r="E15" s="20" t="s">
        <v>4395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4420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4440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4451</v>
      </c>
      <c r="B18" s="18">
        <v>-4098523</v>
      </c>
      <c r="C18" s="18">
        <v>0</v>
      </c>
      <c r="D18" s="113">
        <f t="shared" si="0"/>
        <v>-4098523</v>
      </c>
      <c r="E18" s="20" t="s">
        <v>4450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4451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4451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4447</v>
      </c>
      <c r="B21" s="18">
        <v>-7500</v>
      </c>
      <c r="C21" s="18">
        <v>0</v>
      </c>
      <c r="D21" s="113">
        <f t="shared" si="0"/>
        <v>-7500</v>
      </c>
      <c r="E21" s="19" t="s">
        <v>4448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4512</v>
      </c>
      <c r="B22" s="18">
        <v>7964</v>
      </c>
      <c r="C22" s="18">
        <v>65497</v>
      </c>
      <c r="D22" s="113">
        <f t="shared" si="0"/>
        <v>-57533</v>
      </c>
      <c r="E22" s="19" t="s">
        <v>4513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4317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4316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4318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4319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4324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4327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4328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4332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4333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4334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4336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4337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4338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4345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4353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4358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4374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4371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4369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4375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4378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4383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4390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4391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4392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4393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4390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4396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4401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4405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4409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4414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4416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4419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4422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4423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4424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4425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4427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4425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4429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4431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4432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4433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4434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4435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4438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4441</v>
      </c>
    </row>
    <row r="82" spans="4:5">
      <c r="D82" s="114">
        <v>-142143</v>
      </c>
      <c r="E82" s="54" t="s">
        <v>4445</v>
      </c>
    </row>
    <row r="83" spans="4:5">
      <c r="D83" s="114">
        <v>-128352</v>
      </c>
      <c r="E83" s="54" t="s">
        <v>4444</v>
      </c>
    </row>
    <row r="84" spans="4:5">
      <c r="D84" s="114">
        <v>-6035000</v>
      </c>
      <c r="E84" s="54" t="s">
        <v>4454</v>
      </c>
    </row>
    <row r="85" spans="4:5">
      <c r="D85" s="114">
        <v>-55957</v>
      </c>
      <c r="E85" s="54" t="s">
        <v>4453</v>
      </c>
    </row>
    <row r="86" spans="4:5">
      <c r="D86" s="114">
        <v>7500</v>
      </c>
      <c r="E86" s="54" t="s">
        <v>4452</v>
      </c>
    </row>
    <row r="87" spans="4:5">
      <c r="D87" s="114">
        <v>1700000</v>
      </c>
      <c r="E87" s="54" t="s">
        <v>4455</v>
      </c>
    </row>
    <row r="88" spans="4:5">
      <c r="D88" s="114">
        <v>129648</v>
      </c>
      <c r="E88" s="54" t="s">
        <v>4456</v>
      </c>
    </row>
    <row r="89" spans="4:5">
      <c r="D89" s="114">
        <v>1000000</v>
      </c>
      <c r="E89" s="54" t="s">
        <v>4470</v>
      </c>
    </row>
    <row r="90" spans="4:5">
      <c r="D90" s="114">
        <v>-53003</v>
      </c>
      <c r="E90" s="54" t="s">
        <v>4471</v>
      </c>
    </row>
    <row r="91" spans="4:5">
      <c r="D91" s="114">
        <v>-23690</v>
      </c>
      <c r="E91" s="54" t="s">
        <v>4471</v>
      </c>
    </row>
    <row r="92" spans="4:5">
      <c r="D92" s="114">
        <v>-216910</v>
      </c>
      <c r="E92" s="54" t="s">
        <v>4474</v>
      </c>
    </row>
    <row r="93" spans="4:5">
      <c r="D93" s="114">
        <v>-30304</v>
      </c>
      <c r="E93" s="54" t="s">
        <v>4478</v>
      </c>
    </row>
    <row r="94" spans="4:5">
      <c r="D94" s="114">
        <v>-10067</v>
      </c>
      <c r="E94" s="54" t="s">
        <v>4479</v>
      </c>
    </row>
    <row r="95" spans="4:5">
      <c r="D95" s="114">
        <v>-16248</v>
      </c>
      <c r="E95" s="54" t="s">
        <v>4481</v>
      </c>
    </row>
    <row r="96" spans="4:5">
      <c r="D96" s="114">
        <v>-87695</v>
      </c>
      <c r="E96" s="54" t="s">
        <v>4484</v>
      </c>
    </row>
    <row r="97" spans="4:7">
      <c r="D97" s="114">
        <v>-29231</v>
      </c>
      <c r="E97" s="54" t="s">
        <v>4485</v>
      </c>
    </row>
    <row r="98" spans="4:7">
      <c r="D98" s="114">
        <v>1000000</v>
      </c>
      <c r="E98" s="54" t="s">
        <v>4487</v>
      </c>
    </row>
    <row r="99" spans="4:7">
      <c r="D99" s="114">
        <v>-35250</v>
      </c>
      <c r="E99" s="54" t="s">
        <v>4489</v>
      </c>
    </row>
    <row r="100" spans="4:7">
      <c r="D100" s="114">
        <v>-57477</v>
      </c>
      <c r="E100" s="54" t="s">
        <v>4490</v>
      </c>
    </row>
    <row r="101" spans="4:7">
      <c r="D101" s="114">
        <v>-13565</v>
      </c>
      <c r="E101" s="54" t="s">
        <v>4491</v>
      </c>
    </row>
    <row r="102" spans="4:7">
      <c r="D102" s="114">
        <v>-9429</v>
      </c>
      <c r="E102" s="54" t="s">
        <v>4496</v>
      </c>
    </row>
    <row r="103" spans="4:7">
      <c r="D103" s="114">
        <v>-600000</v>
      </c>
      <c r="E103" s="54" t="s">
        <v>4501</v>
      </c>
    </row>
    <row r="104" spans="4:7">
      <c r="D104" s="114">
        <v>335</v>
      </c>
      <c r="E104" s="54" t="s">
        <v>4504</v>
      </c>
    </row>
    <row r="105" spans="4:7">
      <c r="D105" s="114">
        <v>31026</v>
      </c>
      <c r="E105" s="54" t="s">
        <v>4505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7" t="s">
        <v>4231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4240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985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994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987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999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990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992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4233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4242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4237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4245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3" t="s">
        <v>4388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3" t="s">
        <v>4389</v>
      </c>
      <c r="N22" s="193">
        <f>547-$AD$19</f>
        <v>318</v>
      </c>
      <c r="O22" s="193">
        <v>0</v>
      </c>
      <c r="P22" s="193">
        <v>0</v>
      </c>
      <c r="Q22" s="193">
        <v>0</v>
      </c>
      <c r="R22" s="193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4299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4300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1004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1005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996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997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G24" sqref="G24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1223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3746990.684887459</v>
      </c>
      <c r="C8" s="99">
        <f>B2*B4*B5/(B1*B3)+B7/B6</f>
        <v>288.23005268365068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4050000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303009.31511254096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1" t="s">
        <v>1090</v>
      </c>
      <c r="R21" s="201"/>
      <c r="S21" s="201"/>
      <c r="T21" s="201"/>
      <c r="U21" s="96"/>
      <c r="V21" s="96"/>
      <c r="W21" s="96"/>
      <c r="X21" s="96"/>
      <c r="Y21" s="96"/>
      <c r="Z21" s="96"/>
    </row>
    <row r="22" spans="5:35">
      <c r="O22" s="99"/>
      <c r="P22" s="99"/>
      <c r="Q22" s="201"/>
      <c r="R22" s="201"/>
      <c r="S22" s="201"/>
      <c r="T22" s="20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202" t="s">
        <v>1091</v>
      </c>
      <c r="R23" s="203" t="s">
        <v>1092</v>
      </c>
      <c r="S23" s="202" t="s">
        <v>1093</v>
      </c>
      <c r="T23" s="204" t="s">
        <v>1094</v>
      </c>
      <c r="AD23" t="s">
        <v>25</v>
      </c>
    </row>
    <row r="24" spans="5:35">
      <c r="O24" s="99"/>
      <c r="P24" s="99"/>
      <c r="Q24" s="202"/>
      <c r="R24" s="203"/>
      <c r="S24" s="202"/>
      <c r="T24" s="204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1" sqref="N2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4397</v>
      </c>
      <c r="L21" s="33" t="s">
        <v>4399</v>
      </c>
      <c r="M21" s="96" t="s">
        <v>4398</v>
      </c>
      <c r="N21" s="194" t="s">
        <v>4400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4359</v>
      </c>
      <c r="L23">
        <v>9149046982</v>
      </c>
      <c r="M23" t="s">
        <v>4360</v>
      </c>
      <c r="N23" t="s">
        <v>4361</v>
      </c>
      <c r="O23" t="s">
        <v>4362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4363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4364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L34" zoomScaleNormal="100" workbookViewId="0">
      <selection activeCell="Q72" sqref="Q7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-L87*12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4380</v>
      </c>
      <c r="AS9" s="99" t="s">
        <v>4381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4407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4382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4200000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-5461019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169" t="s">
        <v>4322</v>
      </c>
      <c r="R18" s="169" t="s">
        <v>25</v>
      </c>
      <c r="S18" s="169"/>
      <c r="T18" s="113"/>
      <c r="U18" s="169" t="s">
        <v>4406</v>
      </c>
      <c r="V18" s="73" t="s">
        <v>4408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-آبان97!D108</f>
        <v>54623926</v>
      </c>
      <c r="M19" s="169" t="s">
        <v>4331</v>
      </c>
      <c r="N19" s="113">
        <f t="shared" ref="N19:N27" si="4">O19*P19</f>
        <v>12398667.5</v>
      </c>
      <c r="O19" s="99">
        <v>64745</v>
      </c>
      <c r="P19" s="192">
        <f>P41</f>
        <v>191.5</v>
      </c>
      <c r="Q19" s="169" t="s">
        <v>267</v>
      </c>
      <c r="R19" s="169" t="s">
        <v>180</v>
      </c>
      <c r="S19" s="169" t="s">
        <v>183</v>
      </c>
      <c r="T19" s="169" t="s">
        <v>8</v>
      </c>
      <c r="U19" s="169"/>
      <c r="V19" s="16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4344</v>
      </c>
      <c r="N20" s="113">
        <f t="shared" si="4"/>
        <v>9796569.5999999996</v>
      </c>
      <c r="O20" s="99">
        <v>33504</v>
      </c>
      <c r="P20" s="192">
        <f>P44</f>
        <v>292.39999999999998</v>
      </c>
      <c r="Q20" s="170">
        <v>9268987</v>
      </c>
      <c r="R20" s="169" t="s">
        <v>4181</v>
      </c>
      <c r="S20" s="198">
        <f>S44</f>
        <v>63</v>
      </c>
      <c r="T20" s="169" t="s">
        <v>4339</v>
      </c>
      <c r="U20" s="169">
        <v>192.1</v>
      </c>
      <c r="V20" s="169">
        <f t="shared" ref="V20:V33" si="5">U20*(1+$R$77+$Q$15*S20/36500)</f>
        <v>203.5354761643836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230</v>
      </c>
      <c r="AL20" s="113">
        <f>AI20*AK20</f>
        <v>4140000000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4216</v>
      </c>
      <c r="J21" s="25"/>
      <c r="K21" s="169" t="s">
        <v>456</v>
      </c>
      <c r="L21" s="117">
        <v>230000</v>
      </c>
      <c r="M21" s="169"/>
      <c r="N21" s="113"/>
      <c r="O21" s="99"/>
      <c r="P21" s="192"/>
      <c r="Q21" s="170">
        <v>1450345</v>
      </c>
      <c r="R21" s="169" t="s">
        <v>4335</v>
      </c>
      <c r="S21" s="198">
        <f>S20-36</f>
        <v>27</v>
      </c>
      <c r="T21" s="169" t="s">
        <v>4340</v>
      </c>
      <c r="U21" s="169">
        <v>313.7</v>
      </c>
      <c r="V21" s="169">
        <f t="shared" si="5"/>
        <v>323.71089753424661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6">AK22+AJ21</f>
        <v>229</v>
      </c>
      <c r="AL21" s="113">
        <f t="shared" ref="AL21:AL88" si="7">AI21*AK21</f>
        <v>572500000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L56</f>
        <v>284066128</v>
      </c>
      <c r="G22" s="95">
        <f t="shared" si="0"/>
        <v>-16091715.283806711</v>
      </c>
      <c r="H22" s="11"/>
      <c r="I22" s="96"/>
      <c r="J22" s="96"/>
      <c r="K22" s="169"/>
      <c r="L22" s="117"/>
      <c r="M22" s="169" t="s">
        <v>4442</v>
      </c>
      <c r="N22" s="113">
        <f t="shared" si="4"/>
        <v>4206544.1000000006</v>
      </c>
      <c r="O22" s="99">
        <v>781</v>
      </c>
      <c r="P22" s="99">
        <f>P45</f>
        <v>5386.1</v>
      </c>
      <c r="Q22" s="170">
        <v>400069</v>
      </c>
      <c r="R22" s="169" t="s">
        <v>4341</v>
      </c>
      <c r="S22" s="198">
        <f>S21-1</f>
        <v>26</v>
      </c>
      <c r="T22" s="169" t="s">
        <v>4342</v>
      </c>
      <c r="U22" s="169">
        <v>314.8</v>
      </c>
      <c r="V22" s="169">
        <f t="shared" si="5"/>
        <v>324.60451068493154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6"/>
        <v>228</v>
      </c>
      <c r="AL22" s="113">
        <f t="shared" si="7"/>
        <v>1824000000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/>
      <c r="L23" s="117"/>
      <c r="M23" s="169" t="s">
        <v>4403</v>
      </c>
      <c r="N23" s="113">
        <f t="shared" si="4"/>
        <v>164762.5</v>
      </c>
      <c r="O23" s="69">
        <v>125</v>
      </c>
      <c r="P23" s="99">
        <f>P43</f>
        <v>1318.1</v>
      </c>
      <c r="Q23" s="170">
        <v>8690518</v>
      </c>
      <c r="R23" s="169" t="s">
        <v>4341</v>
      </c>
      <c r="S23" s="198">
        <f>S22</f>
        <v>26</v>
      </c>
      <c r="T23" s="169" t="s">
        <v>4343</v>
      </c>
      <c r="U23" s="169">
        <v>313</v>
      </c>
      <c r="V23" s="169">
        <f t="shared" si="5"/>
        <v>322.74844931506851</v>
      </c>
      <c r="X23" s="169" t="s">
        <v>180</v>
      </c>
      <c r="Y23" s="169" t="s">
        <v>4315</v>
      </c>
      <c r="Z23" s="113" t="s">
        <v>4321</v>
      </c>
      <c r="AA23" s="113" t="s">
        <v>938</v>
      </c>
      <c r="AB23" s="56"/>
      <c r="AC23" s="56" t="s">
        <v>942</v>
      </c>
      <c r="AD23" s="56" t="s">
        <v>4323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6"/>
        <v>227</v>
      </c>
      <c r="AL23" s="113">
        <f t="shared" si="7"/>
        <v>-18058304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96" t="s">
        <v>4526</v>
      </c>
      <c r="N24" s="113">
        <f t="shared" si="4"/>
        <v>1084081.5</v>
      </c>
      <c r="O24" s="69">
        <v>5661</v>
      </c>
      <c r="P24" s="99">
        <f>P41</f>
        <v>191.5</v>
      </c>
      <c r="Q24" s="170">
        <v>106732</v>
      </c>
      <c r="R24" s="169" t="s">
        <v>4387</v>
      </c>
      <c r="S24" s="198">
        <f>S23-8</f>
        <v>18</v>
      </c>
      <c r="T24" s="169" t="s">
        <v>4404</v>
      </c>
      <c r="U24" s="169">
        <v>850</v>
      </c>
      <c r="V24" s="169">
        <f t="shared" si="5"/>
        <v>871.25698630136992</v>
      </c>
      <c r="X24" s="169" t="s">
        <v>4311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4200000</v>
      </c>
      <c r="AD24" s="113">
        <f>AA24*AC24</f>
        <v>32046000</v>
      </c>
      <c r="AE24" s="169" t="s">
        <v>4394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6"/>
        <v>226</v>
      </c>
      <c r="AL24" s="113">
        <f t="shared" si="7"/>
        <v>37403000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6" t="s">
        <v>4494</v>
      </c>
      <c r="N25" s="113">
        <f t="shared" si="4"/>
        <v>2505178.1999999997</v>
      </c>
      <c r="O25" s="36">
        <v>13206</v>
      </c>
      <c r="P25" s="99">
        <f>P48</f>
        <v>189.7</v>
      </c>
      <c r="Q25" s="170">
        <v>595156</v>
      </c>
      <c r="R25" s="169" t="s">
        <v>4440</v>
      </c>
      <c r="S25" s="199">
        <f>S24-8</f>
        <v>10</v>
      </c>
      <c r="T25" s="169" t="s">
        <v>4443</v>
      </c>
      <c r="U25" s="169">
        <v>5808.5</v>
      </c>
      <c r="V25" s="169">
        <f t="shared" si="5"/>
        <v>5918.1135561643841</v>
      </c>
      <c r="X25" s="113" t="s">
        <v>4341</v>
      </c>
      <c r="Y25" s="170">
        <v>-8690518</v>
      </c>
      <c r="Z25" s="169" t="s">
        <v>4462</v>
      </c>
      <c r="AA25" s="169">
        <v>-27637</v>
      </c>
      <c r="AB25" s="169" t="s">
        <v>4322</v>
      </c>
      <c r="AC25" s="169">
        <f>P44</f>
        <v>292.39999999999998</v>
      </c>
      <c r="AD25" s="113">
        <f t="shared" ref="AD25:AD34" si="8">AA25*AC25</f>
        <v>-8081058.7999999998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6"/>
        <v>214</v>
      </c>
      <c r="AL25" s="113">
        <f t="shared" si="7"/>
        <v>-6169689978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36"/>
      <c r="P26" s="99"/>
      <c r="Q26" s="170">
        <v>142593</v>
      </c>
      <c r="R26" s="169" t="s">
        <v>4477</v>
      </c>
      <c r="S26" s="169">
        <f>S25-5</f>
        <v>5</v>
      </c>
      <c r="T26" s="169" t="s">
        <v>4486</v>
      </c>
      <c r="U26" s="169">
        <v>189.5</v>
      </c>
      <c r="V26" s="169">
        <f t="shared" si="5"/>
        <v>192.3492493150685</v>
      </c>
      <c r="X26" s="113" t="s">
        <v>4440</v>
      </c>
      <c r="Y26" s="170">
        <v>-595156</v>
      </c>
      <c r="Z26" s="169" t="s">
        <v>4463</v>
      </c>
      <c r="AA26" s="169">
        <v>-102</v>
      </c>
      <c r="AB26" s="169" t="s">
        <v>4322</v>
      </c>
      <c r="AC26" s="169">
        <f>P45</f>
        <v>5386.1</v>
      </c>
      <c r="AD26" s="113">
        <f t="shared" si="8"/>
        <v>-549382.20000000007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6"/>
        <v>208</v>
      </c>
      <c r="AL26" s="113">
        <f t="shared" si="7"/>
        <v>3848000000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4483</v>
      </c>
      <c r="N27" s="113">
        <f t="shared" si="4"/>
        <v>142085.29999999999</v>
      </c>
      <c r="O27" s="36">
        <v>749</v>
      </c>
      <c r="P27" s="99">
        <f>P48</f>
        <v>189.7</v>
      </c>
      <c r="Q27" s="170">
        <v>1734776</v>
      </c>
      <c r="R27" s="169" t="s">
        <v>4492</v>
      </c>
      <c r="S27" s="169">
        <f>S26-1</f>
        <v>4</v>
      </c>
      <c r="T27" s="197" t="s">
        <v>4493</v>
      </c>
      <c r="U27" s="169">
        <v>188.8</v>
      </c>
      <c r="V27" s="169">
        <f t="shared" si="5"/>
        <v>191.49389150684937</v>
      </c>
      <c r="X27" s="113" t="s">
        <v>4440</v>
      </c>
      <c r="Y27" s="170">
        <v>-2010885</v>
      </c>
      <c r="Z27" s="169" t="s">
        <v>4464</v>
      </c>
      <c r="AA27" s="169">
        <v>-9904</v>
      </c>
      <c r="AB27" s="169" t="s">
        <v>4325</v>
      </c>
      <c r="AC27" s="169">
        <f>P41</f>
        <v>191.5</v>
      </c>
      <c r="AD27" s="113">
        <f t="shared" si="8"/>
        <v>-1896616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6"/>
        <v>207</v>
      </c>
      <c r="AL27" s="113">
        <f t="shared" si="7"/>
        <v>-3839850000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/>
      <c r="N28" s="113"/>
      <c r="P28" t="s">
        <v>25</v>
      </c>
      <c r="Q28" s="170">
        <v>1484689</v>
      </c>
      <c r="R28" s="169" t="s">
        <v>4502</v>
      </c>
      <c r="S28" s="169">
        <f>S27-1</f>
        <v>3</v>
      </c>
      <c r="T28" s="19" t="s">
        <v>4506</v>
      </c>
      <c r="U28" s="169">
        <v>5474</v>
      </c>
      <c r="V28" s="169">
        <f t="shared" si="5"/>
        <v>5547.9064986301373</v>
      </c>
      <c r="X28" s="113" t="s">
        <v>4451</v>
      </c>
      <c r="Y28" s="170">
        <v>-1994038</v>
      </c>
      <c r="Z28" s="169" t="s">
        <v>4465</v>
      </c>
      <c r="AA28" s="169">
        <v>-357</v>
      </c>
      <c r="AB28" s="169" t="s">
        <v>4325</v>
      </c>
      <c r="AC28" s="169">
        <f>AC26</f>
        <v>5386.1</v>
      </c>
      <c r="AD28" s="113">
        <f t="shared" si="8"/>
        <v>-1922837.7000000002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6"/>
        <v>206</v>
      </c>
      <c r="AL28" s="113">
        <f t="shared" si="7"/>
        <v>-13381966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 t="s">
        <v>756</v>
      </c>
      <c r="N29" s="113">
        <v>3000000</v>
      </c>
      <c r="O29" t="s">
        <v>25</v>
      </c>
      <c r="P29" t="s">
        <v>25</v>
      </c>
      <c r="Q29" s="170">
        <v>2197673</v>
      </c>
      <c r="R29" s="169" t="s">
        <v>4502</v>
      </c>
      <c r="S29" s="169">
        <f>S28</f>
        <v>3</v>
      </c>
      <c r="T29" s="19" t="s">
        <v>4507</v>
      </c>
      <c r="U29" s="169">
        <v>5349</v>
      </c>
      <c r="V29" s="169">
        <f t="shared" si="5"/>
        <v>5421.2188273972606</v>
      </c>
      <c r="X29" s="113" t="s">
        <v>4451</v>
      </c>
      <c r="Y29" s="170">
        <v>-4629290</v>
      </c>
      <c r="Z29" s="169" t="s">
        <v>4466</v>
      </c>
      <c r="AA29" s="169">
        <v>-10431</v>
      </c>
      <c r="AB29" s="169" t="s">
        <v>4325</v>
      </c>
      <c r="AC29" s="169">
        <f>P46</f>
        <v>435.6</v>
      </c>
      <c r="AD29" s="113">
        <f t="shared" si="8"/>
        <v>-4543743.6000000006</v>
      </c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6"/>
        <v>201</v>
      </c>
      <c r="AL29" s="113">
        <f t="shared" si="7"/>
        <v>1286400000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918</v>
      </c>
      <c r="L30" s="117">
        <v>4800000</v>
      </c>
      <c r="M30" s="169" t="s">
        <v>4158</v>
      </c>
      <c r="N30" s="113">
        <f>-1*L19</f>
        <v>-54623926</v>
      </c>
      <c r="O30" s="96"/>
      <c r="P30" s="96" t="s">
        <v>25</v>
      </c>
      <c r="Q30" s="170">
        <v>1353959</v>
      </c>
      <c r="R30" s="169" t="s">
        <v>4502</v>
      </c>
      <c r="S30" s="169">
        <f>S29</f>
        <v>3</v>
      </c>
      <c r="T30" s="19" t="s">
        <v>4521</v>
      </c>
      <c r="U30" s="169">
        <v>192.2</v>
      </c>
      <c r="V30" s="169">
        <f t="shared" si="5"/>
        <v>194.79496328767124</v>
      </c>
      <c r="X30" s="113" t="s">
        <v>4451</v>
      </c>
      <c r="Y30" s="170">
        <v>-3611309</v>
      </c>
      <c r="Z30" s="169" t="s">
        <v>4467</v>
      </c>
      <c r="AA30" s="169">
        <v>-12285</v>
      </c>
      <c r="AB30" s="169" t="s">
        <v>4325</v>
      </c>
      <c r="AC30" s="169">
        <f>P44</f>
        <v>292.39999999999998</v>
      </c>
      <c r="AD30" s="113">
        <f t="shared" si="8"/>
        <v>-3592133.9999999995</v>
      </c>
      <c r="AE30" s="169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6"/>
        <v>200</v>
      </c>
      <c r="AL30" s="113">
        <f t="shared" si="7"/>
        <v>-34000000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929</v>
      </c>
      <c r="L31" s="117">
        <v>0</v>
      </c>
      <c r="M31" s="169" t="s">
        <v>753</v>
      </c>
      <c r="N31" s="113">
        <v>500000</v>
      </c>
      <c r="O31" s="96"/>
      <c r="P31" s="96"/>
      <c r="Q31" s="170">
        <v>1799855</v>
      </c>
      <c r="R31" s="169" t="s">
        <v>4518</v>
      </c>
      <c r="S31" s="169">
        <f>S30-3</f>
        <v>0</v>
      </c>
      <c r="T31" s="19" t="s">
        <v>4519</v>
      </c>
      <c r="U31" s="169">
        <v>184.6</v>
      </c>
      <c r="V31" s="169">
        <f t="shared" si="5"/>
        <v>186.66752000000002</v>
      </c>
      <c r="X31" s="113" t="s">
        <v>4451</v>
      </c>
      <c r="Y31" s="170">
        <v>-2850889</v>
      </c>
      <c r="Z31" s="169" t="s">
        <v>4468</v>
      </c>
      <c r="AA31" s="169">
        <v>-4173</v>
      </c>
      <c r="AB31" s="169" t="s">
        <v>4461</v>
      </c>
      <c r="AC31" s="169">
        <f>P47</f>
        <v>0</v>
      </c>
      <c r="AD31" s="113">
        <f t="shared" si="8"/>
        <v>0</v>
      </c>
      <c r="AE31" s="169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195</v>
      </c>
      <c r="AL31" s="113">
        <f t="shared" si="7"/>
        <v>-1228500000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1087</v>
      </c>
      <c r="L32" s="117">
        <f>65*P15</f>
        <v>273000000</v>
      </c>
      <c r="M32" s="169" t="s">
        <v>760</v>
      </c>
      <c r="N32" s="113">
        <v>1200000</v>
      </c>
      <c r="O32" t="s">
        <v>25</v>
      </c>
      <c r="P32" t="s">
        <v>25</v>
      </c>
      <c r="Q32" s="170">
        <v>1049300</v>
      </c>
      <c r="R32" s="169" t="s">
        <v>4518</v>
      </c>
      <c r="S32" s="169">
        <f>S31</f>
        <v>0</v>
      </c>
      <c r="T32" s="197" t="s">
        <v>4524</v>
      </c>
      <c r="U32" s="169">
        <v>184.6</v>
      </c>
      <c r="V32" s="169">
        <f t="shared" si="5"/>
        <v>186.66752000000002</v>
      </c>
      <c r="X32" s="113" t="s">
        <v>4475</v>
      </c>
      <c r="Y32" s="170">
        <v>-1971103</v>
      </c>
      <c r="Z32" s="169" t="s">
        <v>4497</v>
      </c>
      <c r="AA32" s="169">
        <v>-10000</v>
      </c>
      <c r="AB32" s="169" t="s">
        <v>4325</v>
      </c>
      <c r="AC32" s="169">
        <f>P41</f>
        <v>191.5</v>
      </c>
      <c r="AD32" s="113">
        <f t="shared" si="8"/>
        <v>-1915000</v>
      </c>
      <c r="AE32" s="169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6"/>
        <v>194</v>
      </c>
      <c r="AL32" s="113">
        <f t="shared" si="7"/>
        <v>-10090910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4156</v>
      </c>
      <c r="L33" s="117">
        <v>-50000000</v>
      </c>
      <c r="M33" s="73" t="s">
        <v>4313</v>
      </c>
      <c r="N33" s="113">
        <v>767753</v>
      </c>
      <c r="O33" s="22"/>
      <c r="P33" t="s">
        <v>25</v>
      </c>
      <c r="Q33" s="170">
        <v>746835</v>
      </c>
      <c r="R33" s="169" t="s">
        <v>4518</v>
      </c>
      <c r="S33" s="169">
        <f>S32</f>
        <v>0</v>
      </c>
      <c r="T33" s="197" t="s">
        <v>4525</v>
      </c>
      <c r="U33" s="169">
        <v>183.1</v>
      </c>
      <c r="V33" s="169">
        <f t="shared" si="5"/>
        <v>185.15072000000001</v>
      </c>
      <c r="X33" s="113" t="s">
        <v>4477</v>
      </c>
      <c r="Y33" s="170">
        <v>-1016030</v>
      </c>
      <c r="Z33" s="169" t="s">
        <v>4499</v>
      </c>
      <c r="AA33" s="169">
        <v>-5287</v>
      </c>
      <c r="AB33" s="169" t="s">
        <v>4325</v>
      </c>
      <c r="AC33" s="169">
        <f>P48</f>
        <v>189.7</v>
      </c>
      <c r="AD33" s="113">
        <f t="shared" si="8"/>
        <v>-1002943.8999999999</v>
      </c>
      <c r="AE33" s="169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6"/>
        <v>178</v>
      </c>
      <c r="AL33" s="113">
        <f t="shared" si="7"/>
        <v>3563097200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4356</v>
      </c>
      <c r="L34" s="117">
        <v>-2985000</v>
      </c>
      <c r="M34" s="169" t="s">
        <v>1087</v>
      </c>
      <c r="N34" s="113">
        <f>65*P15</f>
        <v>273000000</v>
      </c>
      <c r="P34" t="s">
        <v>25</v>
      </c>
      <c r="Q34" s="170"/>
      <c r="R34" s="169"/>
      <c r="S34" s="169"/>
      <c r="T34" s="169"/>
      <c r="U34" s="169"/>
      <c r="V34" s="169"/>
      <c r="X34" s="113" t="s">
        <v>4502</v>
      </c>
      <c r="Y34" s="170">
        <v>-730256</v>
      </c>
      <c r="Z34" s="169" t="s">
        <v>4508</v>
      </c>
      <c r="AA34" s="169">
        <v>-3864</v>
      </c>
      <c r="AB34" s="169" t="s">
        <v>4325</v>
      </c>
      <c r="AC34" s="169">
        <f>P48</f>
        <v>189.7</v>
      </c>
      <c r="AD34" s="113">
        <f t="shared" si="8"/>
        <v>-733000.79999999993</v>
      </c>
      <c r="AE34" s="169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6"/>
        <v>178</v>
      </c>
      <c r="AL34" s="113">
        <f t="shared" si="7"/>
        <v>180574948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4370</v>
      </c>
      <c r="L35" s="117">
        <v>1000000</v>
      </c>
      <c r="M35" s="169" t="s">
        <v>4347</v>
      </c>
      <c r="N35" s="113">
        <v>-20000000</v>
      </c>
      <c r="Q35" s="170">
        <f>SUM(N19:N27)-SUM(Q20:Q34)</f>
        <v>-723598.29999999702</v>
      </c>
      <c r="R35" s="169"/>
      <c r="S35" s="169" t="s">
        <v>25</v>
      </c>
      <c r="T35" s="169"/>
      <c r="U35" s="169"/>
      <c r="V35" s="169"/>
      <c r="X35" s="113"/>
      <c r="Y35" s="170"/>
      <c r="Z35" s="169"/>
      <c r="AA35" s="169"/>
      <c r="AB35" s="169"/>
      <c r="AC35" s="169"/>
      <c r="AD35" s="113"/>
      <c r="AE35" s="169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6"/>
        <v>166</v>
      </c>
      <c r="AL35" s="113">
        <f t="shared" si="7"/>
        <v>59760000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4417</v>
      </c>
      <c r="L36" s="117">
        <v>-26000</v>
      </c>
      <c r="M36" s="169" t="s">
        <v>4379</v>
      </c>
      <c r="N36" s="113">
        <v>-50000000</v>
      </c>
      <c r="O36" s="96" t="s">
        <v>25</v>
      </c>
      <c r="P36" s="96"/>
      <c r="R36" s="115"/>
      <c r="S36" s="115"/>
      <c r="T36" s="115"/>
      <c r="U36" s="115"/>
      <c r="V36" s="115"/>
      <c r="X36" s="113"/>
      <c r="Y36" s="170"/>
      <c r="Z36" s="169"/>
      <c r="AA36" s="169"/>
      <c r="AB36" s="169"/>
      <c r="AC36" s="169"/>
      <c r="AD36" s="113">
        <v>-2395355</v>
      </c>
      <c r="AE36" s="169" t="s">
        <v>4498</v>
      </c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6"/>
        <v>164</v>
      </c>
      <c r="AL36" s="113">
        <f t="shared" si="7"/>
        <v>-57400000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99" t="s">
        <v>4472</v>
      </c>
      <c r="L37" s="117">
        <v>3000000</v>
      </c>
      <c r="M37" s="169" t="s">
        <v>4370</v>
      </c>
      <c r="N37" s="113">
        <v>1000000</v>
      </c>
      <c r="O37" s="96"/>
      <c r="P37" s="96"/>
      <c r="R37" s="115"/>
      <c r="S37" s="115"/>
      <c r="T37" s="115" t="s">
        <v>25</v>
      </c>
      <c r="U37" s="115"/>
      <c r="V37" s="115"/>
      <c r="W37"/>
      <c r="X37" s="113"/>
      <c r="Y37" s="56"/>
      <c r="Z37" s="169"/>
      <c r="AA37" s="169"/>
      <c r="AB37" s="169"/>
      <c r="AC37" s="169"/>
      <c r="AD37" s="113">
        <v>-3000000</v>
      </c>
      <c r="AE37" s="169" t="s">
        <v>4488</v>
      </c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6"/>
        <v>164</v>
      </c>
      <c r="AL37" s="113">
        <f t="shared" si="7"/>
        <v>164000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99" t="s">
        <v>4500</v>
      </c>
      <c r="L38" s="117">
        <v>-600000</v>
      </c>
      <c r="M38" s="169" t="s">
        <v>3892</v>
      </c>
      <c r="N38" s="113">
        <v>111918</v>
      </c>
      <c r="O38" s="99" t="s">
        <v>938</v>
      </c>
      <c r="P38" s="99" t="s">
        <v>3933</v>
      </c>
      <c r="Q38" t="s">
        <v>25</v>
      </c>
      <c r="S38" s="26" t="s">
        <v>25</v>
      </c>
      <c r="T38" t="s">
        <v>25</v>
      </c>
      <c r="U38" s="96" t="s">
        <v>25</v>
      </c>
      <c r="V38" s="115" t="s">
        <v>25</v>
      </c>
      <c r="W38"/>
      <c r="X38" s="26"/>
      <c r="Y38" s="185"/>
      <c r="Z38" s="185"/>
      <c r="AA38" s="185"/>
      <c r="AB38" s="185"/>
      <c r="AC38" s="185"/>
      <c r="AD38" s="185"/>
      <c r="AE38" s="185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6"/>
        <v>163</v>
      </c>
      <c r="AL38" s="113">
        <f t="shared" si="7"/>
        <v>5478430000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56"/>
      <c r="L39" s="117"/>
      <c r="M39" s="169"/>
      <c r="N39" s="113"/>
      <c r="O39" s="99"/>
      <c r="P39" s="99"/>
      <c r="T39" t="s">
        <v>25</v>
      </c>
      <c r="W39" t="s">
        <v>25</v>
      </c>
      <c r="X39" s="26"/>
      <c r="Y39" s="185"/>
      <c r="Z39" s="185"/>
      <c r="AA39" s="185"/>
      <c r="AB39" s="185"/>
      <c r="AC39" s="185"/>
      <c r="AD39" s="42">
        <f>SUM(AD24:AD37)</f>
        <v>2413927.9999999991</v>
      </c>
      <c r="AE39" s="18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6"/>
        <v>159</v>
      </c>
      <c r="AL39" s="113">
        <f t="shared" si="7"/>
        <v>-2480400000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32" t="s">
        <v>4437</v>
      </c>
      <c r="N40" s="113">
        <f t="shared" ref="N40:N48" si="12">O40*P40</f>
        <v>2257095.1</v>
      </c>
      <c r="O40" s="99">
        <v>611</v>
      </c>
      <c r="P40" s="99">
        <v>3694.1</v>
      </c>
      <c r="U40" s="96" t="s">
        <v>25</v>
      </c>
      <c r="X40" s="41"/>
      <c r="Y40" s="185"/>
      <c r="Z40" s="185"/>
      <c r="AA40" s="185"/>
      <c r="AB40" s="185"/>
      <c r="AC40" s="185"/>
      <c r="AD40" s="185" t="s">
        <v>945</v>
      </c>
      <c r="AE40" s="18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6"/>
        <v>156</v>
      </c>
      <c r="AL40" s="113">
        <f t="shared" si="7"/>
        <v>1170000000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169" t="s">
        <v>4188</v>
      </c>
      <c r="N41" s="113">
        <f t="shared" si="12"/>
        <v>202033649</v>
      </c>
      <c r="O41" s="99">
        <v>1055006</v>
      </c>
      <c r="P41" s="99">
        <v>191.5</v>
      </c>
      <c r="W41"/>
      <c r="X41" s="115"/>
      <c r="Y41" s="115"/>
      <c r="Z41" s="115"/>
      <c r="AA41" s="115"/>
      <c r="AB41" s="115"/>
      <c r="AC41" s="115" t="s">
        <v>4439</v>
      </c>
      <c r="AD41" s="113">
        <f>SUM(AD25:AD37)/AA24</f>
        <v>-3883626.736566186</v>
      </c>
      <c r="AE41" s="115" t="s">
        <v>25</v>
      </c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6"/>
        <v>152</v>
      </c>
      <c r="AL41" s="113">
        <f t="shared" si="7"/>
        <v>-14896000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 ht="30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 t="s">
        <v>4270</v>
      </c>
      <c r="N42" s="113">
        <f t="shared" si="12"/>
        <v>3766039</v>
      </c>
      <c r="O42" s="99">
        <v>19666</v>
      </c>
      <c r="P42" s="99">
        <f>P41</f>
        <v>191.5</v>
      </c>
      <c r="Q42" s="73" t="s">
        <v>4325</v>
      </c>
      <c r="R42" s="112"/>
      <c r="S42" s="112"/>
      <c r="T42" s="112"/>
      <c r="U42" s="169" t="s">
        <v>4406</v>
      </c>
      <c r="V42" s="36" t="s">
        <v>4408</v>
      </c>
      <c r="W42"/>
      <c r="X42" s="115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6"/>
        <v>151</v>
      </c>
      <c r="AL42" s="113">
        <f t="shared" si="7"/>
        <v>-3926000000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/>
      <c r="L43" s="117"/>
      <c r="M43" s="169" t="s">
        <v>4403</v>
      </c>
      <c r="N43" s="113">
        <f t="shared" si="12"/>
        <v>166080.59999999998</v>
      </c>
      <c r="O43" s="99">
        <v>126</v>
      </c>
      <c r="P43" s="99">
        <v>1318.1</v>
      </c>
      <c r="Q43" s="112" t="s">
        <v>267</v>
      </c>
      <c r="R43" s="112" t="s">
        <v>180</v>
      </c>
      <c r="S43" s="112" t="s">
        <v>183</v>
      </c>
      <c r="T43" s="112" t="s">
        <v>8</v>
      </c>
      <c r="U43" s="169"/>
      <c r="V43" s="99"/>
      <c r="W43"/>
      <c r="X43" s="115"/>
      <c r="Y43" s="115"/>
      <c r="Z43" s="115"/>
      <c r="AA43" s="115" t="s">
        <v>25</v>
      </c>
      <c r="AB43" s="115"/>
      <c r="AC43" s="115"/>
      <c r="AD43" s="115"/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6"/>
        <v>151</v>
      </c>
      <c r="AL43" s="113">
        <f t="shared" si="7"/>
        <v>3775000000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99"/>
      <c r="M44" s="169" t="s">
        <v>4326</v>
      </c>
      <c r="N44" s="113">
        <f t="shared" si="12"/>
        <v>8581062.7999999989</v>
      </c>
      <c r="O44" s="69">
        <v>29347</v>
      </c>
      <c r="P44" s="69">
        <v>292.39999999999998</v>
      </c>
      <c r="Q44" s="170">
        <v>184971545</v>
      </c>
      <c r="R44" s="169" t="s">
        <v>4181</v>
      </c>
      <c r="S44" s="198">
        <v>63</v>
      </c>
      <c r="T44" s="169" t="s">
        <v>4385</v>
      </c>
      <c r="U44" s="169">
        <v>192</v>
      </c>
      <c r="V44" s="99">
        <f t="shared" ref="V44:V63" si="13">U44*(1+$R$77+$Q$15*S44/36500)</f>
        <v>203.42952328767126</v>
      </c>
      <c r="W44"/>
      <c r="X44" s="115" t="s">
        <v>25</v>
      </c>
      <c r="Y44" s="115"/>
      <c r="Z44" s="115"/>
      <c r="AA44" s="115"/>
      <c r="AB44" s="115"/>
      <c r="AC44" s="115"/>
      <c r="AD44" s="115" t="s">
        <v>25</v>
      </c>
      <c r="AE44" s="115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6"/>
        <v>150</v>
      </c>
      <c r="AL44" s="113">
        <f t="shared" si="7"/>
        <v>16500000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99"/>
      <c r="M45" s="169" t="s">
        <v>4442</v>
      </c>
      <c r="N45" s="113">
        <f t="shared" si="12"/>
        <v>1922837.7000000002</v>
      </c>
      <c r="O45" s="69">
        <v>357</v>
      </c>
      <c r="P45" s="69">
        <v>5386.1</v>
      </c>
      <c r="Q45" s="170">
        <v>3759803</v>
      </c>
      <c r="R45" s="169" t="s">
        <v>4271</v>
      </c>
      <c r="S45" s="198">
        <f>S44-21</f>
        <v>42</v>
      </c>
      <c r="T45" s="169" t="s">
        <v>4280</v>
      </c>
      <c r="U45" s="169">
        <v>190.3</v>
      </c>
      <c r="V45" s="99">
        <f t="shared" si="13"/>
        <v>198.56266958904115</v>
      </c>
      <c r="X45" s="115"/>
      <c r="Y45" s="115"/>
      <c r="Z45" s="115"/>
      <c r="AA45" s="115"/>
      <c r="AB45" s="115"/>
      <c r="AC45" s="115" t="s">
        <v>25</v>
      </c>
      <c r="AD45" s="115"/>
      <c r="AE45" s="115" t="s">
        <v>25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6"/>
        <v>149</v>
      </c>
      <c r="AL45" s="113">
        <f t="shared" si="7"/>
        <v>56620000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99"/>
      <c r="M46" s="169" t="s">
        <v>4458</v>
      </c>
      <c r="N46" s="117">
        <f t="shared" si="12"/>
        <v>4543743.6000000006</v>
      </c>
      <c r="O46" s="69">
        <v>10431</v>
      </c>
      <c r="P46" s="69">
        <v>435.6</v>
      </c>
      <c r="Q46" s="170">
        <v>9560464</v>
      </c>
      <c r="R46" s="169" t="s">
        <v>4329</v>
      </c>
      <c r="S46" s="198">
        <f>S45-11</f>
        <v>31</v>
      </c>
      <c r="T46" s="169" t="s">
        <v>4346</v>
      </c>
      <c r="U46" s="169">
        <v>214.57</v>
      </c>
      <c r="V46" s="99">
        <f t="shared" si="13"/>
        <v>222.07583495890412</v>
      </c>
      <c r="X46" s="115"/>
      <c r="Y46" s="115"/>
      <c r="Z46" s="115"/>
      <c r="AA46" s="115"/>
      <c r="AB46" s="115"/>
      <c r="AC46" s="115"/>
      <c r="AD46" s="115"/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6"/>
        <v>142</v>
      </c>
      <c r="AL46" s="113">
        <f t="shared" si="7"/>
        <v>63900000</v>
      </c>
      <c r="AM46" s="99"/>
    </row>
    <row r="47" spans="1:53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99"/>
      <c r="M47" s="73"/>
      <c r="N47" s="117"/>
      <c r="O47" s="99"/>
      <c r="P47" s="69"/>
      <c r="Q47" s="170">
        <v>2000000</v>
      </c>
      <c r="R47" s="169" t="s">
        <v>4380</v>
      </c>
      <c r="S47" s="169">
        <f>S46-11</f>
        <v>20</v>
      </c>
      <c r="T47" s="169" t="s">
        <v>4384</v>
      </c>
      <c r="U47" s="169">
        <v>206.8</v>
      </c>
      <c r="V47" s="99">
        <f t="shared" si="13"/>
        <v>212.28898191780826</v>
      </c>
      <c r="X47" s="115"/>
      <c r="Y47" s="115"/>
      <c r="Z47" s="115"/>
      <c r="AA47" s="115"/>
      <c r="AB47" s="115"/>
      <c r="AC47" s="115"/>
      <c r="AD47" s="115" t="s">
        <v>25</v>
      </c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6"/>
        <v>136</v>
      </c>
      <c r="AL47" s="113">
        <f t="shared" si="7"/>
        <v>380800000</v>
      </c>
      <c r="AM47" s="99"/>
    </row>
    <row r="48" spans="1:53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99"/>
      <c r="M48" s="73" t="s">
        <v>4483</v>
      </c>
      <c r="N48" s="117">
        <f t="shared" si="12"/>
        <v>3131188.1999999997</v>
      </c>
      <c r="O48" s="69">
        <v>16506</v>
      </c>
      <c r="P48" s="69">
        <v>189.7</v>
      </c>
      <c r="Q48" s="170">
        <v>107586</v>
      </c>
      <c r="R48" s="169" t="s">
        <v>4387</v>
      </c>
      <c r="S48" s="198">
        <f>S47-2</f>
        <v>18</v>
      </c>
      <c r="T48" s="169" t="s">
        <v>4402</v>
      </c>
      <c r="U48" s="169">
        <v>850</v>
      </c>
      <c r="V48" s="99">
        <f t="shared" si="13"/>
        <v>871.25698630136992</v>
      </c>
      <c r="X48" s="115"/>
      <c r="Y48" s="115"/>
      <c r="Z48" s="115"/>
      <c r="AA48" s="115"/>
      <c r="AB48" s="115" t="s">
        <v>25</v>
      </c>
      <c r="AC48" s="115"/>
      <c r="AD48" s="115"/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6"/>
        <v>135</v>
      </c>
      <c r="AL48" s="113">
        <f t="shared" si="7"/>
        <v>-202500000</v>
      </c>
      <c r="AM48" s="99"/>
    </row>
    <row r="49" spans="1:39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/>
      <c r="L49" s="99"/>
      <c r="M49" s="73"/>
      <c r="N49" s="117"/>
      <c r="O49" s="122"/>
      <c r="P49" s="122"/>
      <c r="Q49" s="170">
        <v>1457531</v>
      </c>
      <c r="R49" s="169" t="s">
        <v>4420</v>
      </c>
      <c r="S49" s="198">
        <f>S48-4</f>
        <v>14</v>
      </c>
      <c r="T49" s="169" t="s">
        <v>4421</v>
      </c>
      <c r="U49" s="169">
        <v>310</v>
      </c>
      <c r="V49" s="99">
        <f t="shared" si="13"/>
        <v>316.80131506849324</v>
      </c>
      <c r="AC49" t="s">
        <v>25</v>
      </c>
      <c r="AD49" t="s">
        <v>25</v>
      </c>
      <c r="AE49" s="115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135</v>
      </c>
      <c r="AL49" s="113">
        <f t="shared" si="7"/>
        <v>411750000</v>
      </c>
      <c r="AM49" s="99"/>
    </row>
    <row r="50" spans="1:39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99"/>
      <c r="M50" s="169" t="s">
        <v>1155</v>
      </c>
      <c r="N50" s="117">
        <v>14908</v>
      </c>
      <c r="O50" s="96" t="s">
        <v>25</v>
      </c>
      <c r="P50" t="s">
        <v>25</v>
      </c>
      <c r="Q50" s="170">
        <v>1429825</v>
      </c>
      <c r="R50" s="169" t="s">
        <v>4415</v>
      </c>
      <c r="S50" s="169">
        <f>S49-1</f>
        <v>13</v>
      </c>
      <c r="T50" s="169" t="s">
        <v>4426</v>
      </c>
      <c r="U50" s="169">
        <v>203.9</v>
      </c>
      <c r="V50" s="99">
        <f t="shared" si="13"/>
        <v>208.21709369863015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6"/>
        <v>132</v>
      </c>
      <c r="AL50" s="113">
        <f t="shared" si="7"/>
        <v>-1095548784</v>
      </c>
      <c r="AM50" s="99"/>
    </row>
    <row r="51" spans="1:39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99"/>
      <c r="L51" s="99"/>
      <c r="M51" s="169" t="s">
        <v>1156</v>
      </c>
      <c r="N51" s="117">
        <v>5282</v>
      </c>
      <c r="O51" s="96"/>
      <c r="Q51" s="170">
        <v>1420747</v>
      </c>
      <c r="R51" s="169" t="s">
        <v>4415</v>
      </c>
      <c r="S51" s="169">
        <f>S50</f>
        <v>13</v>
      </c>
      <c r="T51" s="169" t="s">
        <v>4428</v>
      </c>
      <c r="U51" s="169">
        <v>203.1</v>
      </c>
      <c r="V51" s="99">
        <f t="shared" si="13"/>
        <v>207.40015561643835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6"/>
        <v>130</v>
      </c>
      <c r="AL51" s="113">
        <f t="shared" si="7"/>
        <v>650000000</v>
      </c>
      <c r="AM51" s="99"/>
    </row>
    <row r="52" spans="1:39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170">
        <v>2864946</v>
      </c>
      <c r="R52" s="169" t="s">
        <v>4415</v>
      </c>
      <c r="S52" s="200">
        <f>S51</f>
        <v>13</v>
      </c>
      <c r="T52" s="169" t="s">
        <v>4430</v>
      </c>
      <c r="U52" s="169">
        <v>303.60000000000002</v>
      </c>
      <c r="V52" s="99">
        <f t="shared" si="13"/>
        <v>310.02800219178084</v>
      </c>
      <c r="AA52" s="96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6"/>
        <v>116</v>
      </c>
      <c r="AL52" s="113">
        <f t="shared" si="7"/>
        <v>-10440000</v>
      </c>
      <c r="AM52" s="99"/>
    </row>
    <row r="53" spans="1:39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169" t="s">
        <v>25</v>
      </c>
      <c r="L53" s="117"/>
      <c r="M53" s="169" t="s">
        <v>4189</v>
      </c>
      <c r="N53" s="113">
        <f>-O53*P53</f>
        <v>-15851029.5</v>
      </c>
      <c r="O53" s="99">
        <v>82773</v>
      </c>
      <c r="P53" s="99">
        <f>P41</f>
        <v>191.5</v>
      </c>
      <c r="Q53" s="170">
        <v>2412371</v>
      </c>
      <c r="R53" s="169" t="s">
        <v>4418</v>
      </c>
      <c r="S53" s="169">
        <f>S52-1</f>
        <v>12</v>
      </c>
      <c r="T53" s="169" t="s">
        <v>4436</v>
      </c>
      <c r="U53" s="169">
        <v>3930</v>
      </c>
      <c r="V53" s="99">
        <f t="shared" si="13"/>
        <v>4010.1935342465758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6"/>
        <v>115</v>
      </c>
      <c r="AL53" s="113">
        <f t="shared" si="7"/>
        <v>644000000</v>
      </c>
      <c r="AM53" s="99"/>
    </row>
    <row r="54" spans="1:39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169"/>
      <c r="L54" s="117"/>
      <c r="M54" s="169" t="s">
        <v>4517</v>
      </c>
      <c r="N54" s="113">
        <v>-186988</v>
      </c>
      <c r="O54" s="115"/>
      <c r="P54" s="115"/>
      <c r="Q54" s="170">
        <v>2010885</v>
      </c>
      <c r="R54" s="169" t="s">
        <v>4440</v>
      </c>
      <c r="S54" s="169">
        <f>S53-2</f>
        <v>10</v>
      </c>
      <c r="T54" s="169" t="s">
        <v>4446</v>
      </c>
      <c r="U54" s="169">
        <v>202.1</v>
      </c>
      <c r="V54" s="99">
        <f t="shared" si="13"/>
        <v>205.91387616438357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6"/>
        <v>111</v>
      </c>
      <c r="AL54" s="113">
        <f t="shared" si="7"/>
        <v>83250000</v>
      </c>
      <c r="AM54" s="99"/>
    </row>
    <row r="55" spans="1:39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169"/>
      <c r="L55" s="117"/>
      <c r="M55" s="169"/>
      <c r="N55" s="113"/>
      <c r="O55" s="96"/>
      <c r="P55" s="96"/>
      <c r="Q55" s="170">
        <v>1994038</v>
      </c>
      <c r="R55" s="169" t="s">
        <v>4451</v>
      </c>
      <c r="S55" s="169">
        <f>S54-3</f>
        <v>7</v>
      </c>
      <c r="T55" s="169" t="s">
        <v>4480</v>
      </c>
      <c r="U55" s="169">
        <v>5560.3</v>
      </c>
      <c r="V55" s="99">
        <f t="shared" si="13"/>
        <v>5652.4334093150692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6"/>
        <v>109</v>
      </c>
      <c r="AL55" s="171">
        <f t="shared" si="7"/>
        <v>-462378000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169" t="s">
        <v>598</v>
      </c>
      <c r="L56" s="113">
        <f>SUM(L16:L44)</f>
        <v>284066128</v>
      </c>
      <c r="M56" s="169"/>
      <c r="N56" s="113">
        <f>SUM(N16:N55)</f>
        <v>390225483.19999999</v>
      </c>
      <c r="O56" t="s">
        <v>25</v>
      </c>
      <c r="Q56" s="170">
        <v>4629290</v>
      </c>
      <c r="R56" s="169" t="s">
        <v>4451</v>
      </c>
      <c r="S56" s="200">
        <f>S55</f>
        <v>7</v>
      </c>
      <c r="T56" s="169" t="s">
        <v>4459</v>
      </c>
      <c r="U56" s="169">
        <v>441.8</v>
      </c>
      <c r="V56" s="99">
        <f t="shared" si="13"/>
        <v>449.12056547945213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6"/>
        <v>107</v>
      </c>
      <c r="AL56" s="113">
        <f t="shared" si="7"/>
        <v>438700000</v>
      </c>
      <c r="AM56" s="99"/>
    </row>
    <row r="57" spans="1:39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169" t="s">
        <v>599</v>
      </c>
      <c r="L57" s="113">
        <f>L16+L17+L21</f>
        <v>253202</v>
      </c>
      <c r="M57" s="169"/>
      <c r="N57" s="113">
        <f>N16+N17+N31</f>
        <v>-4947714</v>
      </c>
      <c r="P57" t="s">
        <v>25</v>
      </c>
      <c r="Q57" s="170">
        <v>4489908</v>
      </c>
      <c r="R57" s="169" t="s">
        <v>4451</v>
      </c>
      <c r="S57" s="169">
        <f>S56</f>
        <v>7</v>
      </c>
      <c r="T57" s="169" t="s">
        <v>4457</v>
      </c>
      <c r="U57" s="169">
        <v>292.60000000000002</v>
      </c>
      <c r="V57" s="99">
        <f t="shared" si="13"/>
        <v>297.44834191780831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6"/>
        <v>107</v>
      </c>
      <c r="AL57" s="113">
        <f t="shared" si="7"/>
        <v>438700000</v>
      </c>
      <c r="AM57" s="99"/>
    </row>
    <row r="58" spans="1:39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K58" s="56" t="s">
        <v>716</v>
      </c>
      <c r="L58" s="1">
        <f>L56+N7</f>
        <v>354066128</v>
      </c>
      <c r="M58" s="113"/>
      <c r="N58" s="169"/>
      <c r="O58" s="22"/>
      <c r="Q58" s="170">
        <v>1971103</v>
      </c>
      <c r="R58" s="169" t="s">
        <v>4475</v>
      </c>
      <c r="S58" s="169">
        <f>S57-1</f>
        <v>6</v>
      </c>
      <c r="T58" s="169" t="s">
        <v>4476</v>
      </c>
      <c r="U58" s="169">
        <v>196.2</v>
      </c>
      <c r="V58" s="99">
        <f t="shared" si="13"/>
        <v>199.30049753424657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6"/>
        <v>106</v>
      </c>
      <c r="AL58" s="113">
        <f t="shared" si="7"/>
        <v>83740000</v>
      </c>
      <c r="AM58" s="99"/>
    </row>
    <row r="59" spans="1:39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M59" t="s">
        <v>4304</v>
      </c>
      <c r="P59" t="s">
        <v>25</v>
      </c>
      <c r="Q59" s="170">
        <v>1000913</v>
      </c>
      <c r="R59" s="169" t="s">
        <v>4477</v>
      </c>
      <c r="S59" s="169">
        <f>S58-1</f>
        <v>5</v>
      </c>
      <c r="T59" s="169" t="s">
        <v>4482</v>
      </c>
      <c r="U59" s="169">
        <v>191.3</v>
      </c>
      <c r="V59" s="99">
        <f t="shared" si="13"/>
        <v>194.17631342465756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6"/>
        <v>91</v>
      </c>
      <c r="AL59" s="173">
        <f t="shared" si="7"/>
        <v>-351715000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M60" s="25" t="s">
        <v>4117</v>
      </c>
      <c r="O60" s="114"/>
      <c r="Q60" s="170">
        <v>157443</v>
      </c>
      <c r="R60" s="169" t="s">
        <v>4477</v>
      </c>
      <c r="S60" s="169">
        <f>S59</f>
        <v>5</v>
      </c>
      <c r="T60" s="169" t="s">
        <v>4495</v>
      </c>
      <c r="U60" s="169">
        <v>189.5</v>
      </c>
      <c r="V60" s="99">
        <f t="shared" si="13"/>
        <v>192.3492493150685</v>
      </c>
      <c r="X60" s="99" t="s">
        <v>4253</v>
      </c>
      <c r="Y60" s="99">
        <v>218</v>
      </c>
      <c r="Z60" s="99">
        <v>10000</v>
      </c>
      <c r="AA60" s="99" t="s">
        <v>61</v>
      </c>
      <c r="AB60" s="99">
        <v>224.5</v>
      </c>
      <c r="AC60" s="99" t="s">
        <v>4330</v>
      </c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6"/>
        <v>85</v>
      </c>
      <c r="AL60" s="113">
        <f t="shared" si="7"/>
        <v>1598000000</v>
      </c>
      <c r="AM60" s="20"/>
    </row>
    <row r="61" spans="1:39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M61" s="25" t="s">
        <v>4085</v>
      </c>
      <c r="Q61" s="170">
        <v>1330173</v>
      </c>
      <c r="R61" s="169" t="s">
        <v>4502</v>
      </c>
      <c r="S61" s="169">
        <f>S60-2</f>
        <v>3</v>
      </c>
      <c r="T61" s="169" t="s">
        <v>4503</v>
      </c>
      <c r="U61" s="169">
        <v>188.1</v>
      </c>
      <c r="V61" s="99">
        <f t="shared" si="13"/>
        <v>190.63960767123288</v>
      </c>
      <c r="X61" s="99" t="s">
        <v>4253</v>
      </c>
      <c r="Y61" s="99">
        <v>216.1</v>
      </c>
      <c r="Z61" s="99">
        <v>10000</v>
      </c>
      <c r="AA61" s="99" t="s">
        <v>61</v>
      </c>
      <c r="AB61" s="99">
        <v>222.5</v>
      </c>
      <c r="AC61" s="99" t="s">
        <v>4330</v>
      </c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6"/>
        <v>82</v>
      </c>
      <c r="AL61" s="113">
        <f t="shared" si="7"/>
        <v>41000000</v>
      </c>
      <c r="AM61" s="20"/>
    </row>
    <row r="62" spans="1:39" ht="30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M62" s="178" t="s">
        <v>4121</v>
      </c>
      <c r="P62" t="s">
        <v>25</v>
      </c>
      <c r="Q62" s="170">
        <v>1049856</v>
      </c>
      <c r="R62" s="169" t="s">
        <v>4518</v>
      </c>
      <c r="S62" s="169">
        <f>S61-3</f>
        <v>0</v>
      </c>
      <c r="T62" s="169" t="s">
        <v>4520</v>
      </c>
      <c r="U62" s="169">
        <v>184.5</v>
      </c>
      <c r="V62" s="99">
        <f t="shared" si="13"/>
        <v>186.56640000000002</v>
      </c>
      <c r="X62" s="99" t="s">
        <v>4253</v>
      </c>
      <c r="Y62" s="99">
        <v>215</v>
      </c>
      <c r="Z62" s="99">
        <v>24349</v>
      </c>
      <c r="AA62" s="99" t="s">
        <v>1020</v>
      </c>
      <c r="AB62" s="99">
        <v>221.5</v>
      </c>
      <c r="AC62" s="99" t="s">
        <v>4330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81</v>
      </c>
      <c r="AL62" s="113">
        <f t="shared" si="7"/>
        <v>16200000</v>
      </c>
      <c r="AM62" s="20"/>
    </row>
    <row r="63" spans="1:39">
      <c r="E63" s="26"/>
      <c r="K63" s="3"/>
      <c r="L63" s="11" t="s">
        <v>304</v>
      </c>
      <c r="M63" s="122"/>
      <c r="N63" s="96"/>
      <c r="P63" s="115"/>
      <c r="Q63" s="170">
        <v>634552</v>
      </c>
      <c r="R63" s="169" t="s">
        <v>4518</v>
      </c>
      <c r="S63" s="169">
        <f>S62</f>
        <v>0</v>
      </c>
      <c r="T63" s="169" t="s">
        <v>4523</v>
      </c>
      <c r="U63" s="169">
        <v>184.2</v>
      </c>
      <c r="V63" s="99">
        <f t="shared" si="13"/>
        <v>186.26304000000002</v>
      </c>
      <c r="X63" s="99" t="s">
        <v>4253</v>
      </c>
      <c r="Y63" s="99">
        <v>207</v>
      </c>
      <c r="Z63" s="99">
        <v>9625</v>
      </c>
      <c r="AA63" s="99" t="s">
        <v>61</v>
      </c>
      <c r="AB63" s="99">
        <v>215</v>
      </c>
      <c r="AC63" s="99" t="s">
        <v>4330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6"/>
        <v>78</v>
      </c>
      <c r="AL63" s="113">
        <f t="shared" si="7"/>
        <v>78000000</v>
      </c>
      <c r="AM63" s="20"/>
    </row>
    <row r="64" spans="1:39">
      <c r="E64" s="26"/>
      <c r="K64" s="1" t="s">
        <v>305</v>
      </c>
      <c r="L64" s="1">
        <v>70000</v>
      </c>
      <c r="M64" s="122" t="s">
        <v>4305</v>
      </c>
      <c r="N64" s="96" t="s">
        <v>25</v>
      </c>
      <c r="P64" s="115"/>
      <c r="Q64" s="170"/>
      <c r="R64" s="169"/>
      <c r="S64" s="169"/>
      <c r="T64" s="169"/>
      <c r="U64" s="169"/>
      <c r="V64" s="99"/>
      <c r="X64" s="99" t="s">
        <v>4253</v>
      </c>
      <c r="Y64" s="99">
        <v>203.9</v>
      </c>
      <c r="Z64" s="99">
        <v>6980</v>
      </c>
      <c r="AA64" s="99" t="s">
        <v>1020</v>
      </c>
      <c r="AB64" s="99">
        <v>210.2</v>
      </c>
      <c r="AC64" s="99" t="s">
        <v>4330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75</v>
      </c>
      <c r="AL64" s="113">
        <f t="shared" si="7"/>
        <v>97500000</v>
      </c>
      <c r="AM64" s="20"/>
    </row>
    <row r="65" spans="1:39">
      <c r="K65" s="1" t="s">
        <v>321</v>
      </c>
      <c r="L65" s="1">
        <v>100000</v>
      </c>
      <c r="M65" s="122" t="s">
        <v>4306</v>
      </c>
      <c r="P65" s="115"/>
      <c r="Q65" s="170"/>
      <c r="R65" s="169"/>
      <c r="S65" s="169"/>
      <c r="T65" s="169"/>
      <c r="U65" s="169"/>
      <c r="V65" s="99"/>
      <c r="X65" s="99" t="s">
        <v>4253</v>
      </c>
      <c r="Y65" s="99">
        <v>203.1</v>
      </c>
      <c r="Z65" s="99">
        <v>6963</v>
      </c>
      <c r="AA65" s="99" t="s">
        <v>61</v>
      </c>
      <c r="AB65" s="99">
        <v>209.4</v>
      </c>
      <c r="AC65" s="99" t="s">
        <v>4330</v>
      </c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4">AK66+AJ65</f>
        <v>75</v>
      </c>
      <c r="AL65" s="113">
        <f t="shared" si="7"/>
        <v>74625000</v>
      </c>
      <c r="AM65" s="20"/>
    </row>
    <row r="66" spans="1:39">
      <c r="K66" s="1" t="s">
        <v>306</v>
      </c>
      <c r="L66" s="1">
        <v>80000</v>
      </c>
      <c r="M66" s="122" t="s">
        <v>4307</v>
      </c>
      <c r="P66" s="115"/>
      <c r="Q66" s="113">
        <f>SUM(N40:N48)-SUM(Q44:Q65)</f>
        <v>-2851283.0000000298</v>
      </c>
      <c r="R66" s="112"/>
      <c r="S66" s="112"/>
      <c r="T66" s="112"/>
      <c r="U66" s="169"/>
      <c r="V66" s="99" t="s">
        <v>25</v>
      </c>
      <c r="X66" s="99" t="s">
        <v>4253</v>
      </c>
      <c r="Y66" s="99">
        <v>202.1</v>
      </c>
      <c r="Z66" s="99">
        <v>9904</v>
      </c>
      <c r="AA66" s="99" t="s">
        <v>61</v>
      </c>
      <c r="AB66" s="99">
        <v>208.5</v>
      </c>
      <c r="AC66" s="99" t="s">
        <v>4330</v>
      </c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4"/>
        <v>73</v>
      </c>
      <c r="AL66" s="113">
        <f t="shared" si="7"/>
        <v>949000000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307</v>
      </c>
      <c r="L67" s="1">
        <v>150000</v>
      </c>
      <c r="M67" s="122" t="s">
        <v>4308</v>
      </c>
      <c r="P67" s="115"/>
      <c r="Q67" s="26"/>
      <c r="R67" s="185"/>
      <c r="S67" s="185"/>
      <c r="T67" t="s">
        <v>25</v>
      </c>
      <c r="U67" s="96" t="s">
        <v>25</v>
      </c>
      <c r="V67" s="96" t="s">
        <v>25</v>
      </c>
      <c r="X67" s="99" t="s">
        <v>4253</v>
      </c>
      <c r="Y67" s="99">
        <v>196.2</v>
      </c>
      <c r="Z67" s="99">
        <v>10000</v>
      </c>
      <c r="AA67" s="99" t="s">
        <v>61</v>
      </c>
      <c r="AB67" s="99">
        <v>202.4</v>
      </c>
      <c r="AC67" s="99" t="s">
        <v>4330</v>
      </c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4"/>
        <v>71</v>
      </c>
      <c r="AL67" s="113">
        <f t="shared" si="7"/>
        <v>-220100000</v>
      </c>
      <c r="AM67" s="20"/>
    </row>
    <row r="68" spans="1:39">
      <c r="F68" t="s">
        <v>4108</v>
      </c>
      <c r="G68" t="s">
        <v>4103</v>
      </c>
      <c r="K68" s="31" t="s">
        <v>308</v>
      </c>
      <c r="L68" s="1">
        <v>300000</v>
      </c>
      <c r="M68" s="190" t="s">
        <v>4309</v>
      </c>
      <c r="P68" s="115"/>
      <c r="R68" t="s">
        <v>25</v>
      </c>
      <c r="T68" t="s">
        <v>25</v>
      </c>
      <c r="U68" s="96" t="s">
        <v>25</v>
      </c>
      <c r="V68" s="96" t="s">
        <v>25</v>
      </c>
      <c r="X68" s="23" t="s">
        <v>4331</v>
      </c>
      <c r="Y68" s="169">
        <v>192.2</v>
      </c>
      <c r="Z68" s="169">
        <v>7012</v>
      </c>
      <c r="AA68" s="99" t="s">
        <v>61</v>
      </c>
      <c r="AB68" s="99">
        <v>197</v>
      </c>
      <c r="AC68" s="99" t="s">
        <v>4330</v>
      </c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4"/>
        <v>68</v>
      </c>
      <c r="AL68" s="113">
        <f t="shared" si="7"/>
        <v>3103520000</v>
      </c>
      <c r="AM68" s="20"/>
    </row>
    <row r="69" spans="1:39">
      <c r="F69" t="s">
        <v>4109</v>
      </c>
      <c r="G69" t="s">
        <v>4105</v>
      </c>
      <c r="K69" s="31" t="s">
        <v>309</v>
      </c>
      <c r="L69" s="1">
        <v>100000</v>
      </c>
      <c r="M69" s="191" t="s">
        <v>4312</v>
      </c>
      <c r="P69" s="115"/>
      <c r="Q69" t="s">
        <v>25</v>
      </c>
      <c r="R69" t="s">
        <v>25</v>
      </c>
      <c r="T69" t="s">
        <v>25</v>
      </c>
      <c r="U69" s="96" t="s">
        <v>25</v>
      </c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4"/>
        <v>67</v>
      </c>
      <c r="AL69" s="113">
        <f t="shared" si="7"/>
        <v>2244500000</v>
      </c>
      <c r="AM69" s="20"/>
    </row>
    <row r="70" spans="1:39">
      <c r="G70" t="s">
        <v>4106</v>
      </c>
      <c r="K70" s="31" t="s">
        <v>310</v>
      </c>
      <c r="L70" s="1">
        <v>200000</v>
      </c>
      <c r="M70" s="122" t="s">
        <v>4326</v>
      </c>
      <c r="P70" s="115"/>
      <c r="Q70" t="s">
        <v>25</v>
      </c>
      <c r="S70" t="s">
        <v>25</v>
      </c>
      <c r="T70" t="s">
        <v>25</v>
      </c>
      <c r="U70" s="96" t="s">
        <v>25</v>
      </c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4"/>
        <v>66</v>
      </c>
      <c r="AL70" s="117">
        <f t="shared" si="7"/>
        <v>792000000</v>
      </c>
      <c r="AM70" s="20"/>
    </row>
    <row r="71" spans="1:39">
      <c r="G71" t="s">
        <v>4107</v>
      </c>
      <c r="K71" s="18" t="s">
        <v>311</v>
      </c>
      <c r="L71" s="18">
        <v>300000</v>
      </c>
      <c r="M71" s="122" t="s">
        <v>4469</v>
      </c>
      <c r="P71" s="115"/>
      <c r="Q71" s="96">
        <f>O41+O42+O19+O24-O53</f>
        <v>1062305</v>
      </c>
      <c r="R71" s="113">
        <f>Q71*P41</f>
        <v>203431407.5</v>
      </c>
      <c r="S71" t="s">
        <v>25</v>
      </c>
      <c r="T71" t="s">
        <v>25</v>
      </c>
      <c r="U71" s="96" t="s">
        <v>25</v>
      </c>
      <c r="V71" t="s">
        <v>25</v>
      </c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4"/>
        <v>65</v>
      </c>
      <c r="AL71" s="117">
        <f t="shared" si="7"/>
        <v>1007500000</v>
      </c>
      <c r="AM71" s="20"/>
    </row>
    <row r="72" spans="1:39">
      <c r="G72" t="s">
        <v>4111</v>
      </c>
      <c r="K72" s="32" t="s">
        <v>312</v>
      </c>
      <c r="L72" s="1">
        <v>200000</v>
      </c>
      <c r="M72" s="96" t="s">
        <v>4460</v>
      </c>
      <c r="N72" s="96"/>
      <c r="O72" s="96"/>
      <c r="P72" s="115"/>
      <c r="Q72" t="s">
        <v>4286</v>
      </c>
      <c r="R72" t="s">
        <v>4283</v>
      </c>
      <c r="U72" s="96" t="s">
        <v>25</v>
      </c>
      <c r="Y72" t="s">
        <v>950</v>
      </c>
      <c r="Z72" t="s">
        <v>61</v>
      </c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4"/>
        <v>61</v>
      </c>
      <c r="AL72" s="117">
        <f t="shared" si="7"/>
        <v>9150000</v>
      </c>
      <c r="AM72" s="20"/>
    </row>
    <row r="73" spans="1:39">
      <c r="G73" t="s">
        <v>4110</v>
      </c>
      <c r="K73" s="32" t="s">
        <v>313</v>
      </c>
      <c r="L73" s="1">
        <v>20000</v>
      </c>
      <c r="M73" s="96"/>
      <c r="N73" s="96"/>
      <c r="O73" s="96"/>
      <c r="P73" s="115"/>
      <c r="R73" t="s">
        <v>25</v>
      </c>
      <c r="Y73">
        <v>198</v>
      </c>
      <c r="Z73">
        <v>191</v>
      </c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4"/>
        <v>60</v>
      </c>
      <c r="AL73" s="182">
        <f t="shared" si="7"/>
        <v>1740000000</v>
      </c>
      <c r="AM73" s="181" t="s">
        <v>4195</v>
      </c>
    </row>
    <row r="74" spans="1:39">
      <c r="K74" s="32" t="s">
        <v>315</v>
      </c>
      <c r="L74" s="1">
        <v>50000</v>
      </c>
      <c r="M74" s="96"/>
      <c r="N74" s="96"/>
      <c r="O74" s="96"/>
      <c r="P74" s="115"/>
      <c r="U74" s="96" t="s">
        <v>25</v>
      </c>
      <c r="Y74">
        <v>199</v>
      </c>
      <c r="Z74">
        <v>190</v>
      </c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4"/>
        <v>45</v>
      </c>
      <c r="AL74" s="117">
        <f t="shared" si="7"/>
        <v>-5850000</v>
      </c>
      <c r="AM74" s="20" t="s">
        <v>4221</v>
      </c>
    </row>
    <row r="75" spans="1:39">
      <c r="K75" s="32" t="s">
        <v>316</v>
      </c>
      <c r="L75" s="1">
        <v>90000</v>
      </c>
      <c r="M75" s="96"/>
      <c r="N75" s="96"/>
      <c r="O75" s="96"/>
      <c r="P75" s="115"/>
      <c r="Q75" t="s">
        <v>950</v>
      </c>
      <c r="R75">
        <v>6.3E-3</v>
      </c>
      <c r="T75" t="s">
        <v>25</v>
      </c>
      <c r="Y75">
        <v>200</v>
      </c>
      <c r="Z75">
        <v>189</v>
      </c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4"/>
        <v>38</v>
      </c>
      <c r="AL75" s="117">
        <f>AI75*AK75</f>
        <v>8816000</v>
      </c>
      <c r="AM75" s="20" t="s">
        <v>4277</v>
      </c>
    </row>
    <row r="76" spans="1:39">
      <c r="K76" s="32" t="s">
        <v>317</v>
      </c>
      <c r="L76" s="1">
        <v>50000</v>
      </c>
      <c r="M76" s="96"/>
      <c r="N76" s="96"/>
      <c r="O76" s="96"/>
      <c r="P76" s="115"/>
      <c r="Q76" t="s">
        <v>61</v>
      </c>
      <c r="R76">
        <v>4.8999999999999998E-3</v>
      </c>
      <c r="T76" t="s">
        <v>4473</v>
      </c>
      <c r="Y76">
        <v>201</v>
      </c>
      <c r="Z76">
        <v>188</v>
      </c>
      <c r="AG76" s="20">
        <v>56</v>
      </c>
      <c r="AH76" s="117" t="s">
        <v>4288</v>
      </c>
      <c r="AI76" s="117">
        <v>-170000</v>
      </c>
      <c r="AJ76" s="20">
        <v>3</v>
      </c>
      <c r="AK76" s="99">
        <f t="shared" si="14"/>
        <v>36</v>
      </c>
      <c r="AL76" s="117">
        <f t="shared" si="7"/>
        <v>-6120000</v>
      </c>
      <c r="AM76" s="20"/>
    </row>
    <row r="77" spans="1:39">
      <c r="K77" s="32" t="s">
        <v>327</v>
      </c>
      <c r="L77" s="1">
        <v>150000</v>
      </c>
      <c r="M77" s="96"/>
      <c r="N77" s="96"/>
      <c r="O77" s="96"/>
      <c r="P77" s="115"/>
      <c r="Q77" t="s">
        <v>6</v>
      </c>
      <c r="R77">
        <f>R75+R76</f>
        <v>1.12E-2</v>
      </c>
      <c r="Z77">
        <v>187</v>
      </c>
      <c r="AG77" s="20">
        <v>57</v>
      </c>
      <c r="AH77" s="117" t="s">
        <v>4302</v>
      </c>
      <c r="AI77" s="117">
        <v>-300000</v>
      </c>
      <c r="AJ77" s="20">
        <v>3</v>
      </c>
      <c r="AK77" s="99">
        <f t="shared" si="14"/>
        <v>33</v>
      </c>
      <c r="AL77" s="117">
        <f t="shared" si="7"/>
        <v>-9900000</v>
      </c>
      <c r="AM77" s="20"/>
    </row>
    <row r="78" spans="1:39">
      <c r="K78" s="32" t="s">
        <v>318</v>
      </c>
      <c r="L78" s="1">
        <v>15000</v>
      </c>
      <c r="N78" s="96"/>
      <c r="P78" s="115"/>
      <c r="Z78">
        <v>186</v>
      </c>
      <c r="AD78" s="115"/>
      <c r="AG78" s="20">
        <v>58</v>
      </c>
      <c r="AH78" s="117" t="s">
        <v>4320</v>
      </c>
      <c r="AI78" s="117">
        <v>-11400000</v>
      </c>
      <c r="AJ78" s="20">
        <v>13</v>
      </c>
      <c r="AK78" s="99">
        <f t="shared" si="14"/>
        <v>30</v>
      </c>
      <c r="AL78" s="117">
        <f t="shared" si="7"/>
        <v>-342000000</v>
      </c>
      <c r="AM78" s="20"/>
    </row>
    <row r="79" spans="1:39">
      <c r="K79" s="32" t="s">
        <v>319</v>
      </c>
      <c r="L79" s="1">
        <v>20000</v>
      </c>
      <c r="N79" s="96"/>
      <c r="P79" s="115"/>
      <c r="Z79">
        <v>185</v>
      </c>
      <c r="AD79" s="115"/>
      <c r="AE79" s="115"/>
      <c r="AG79" s="20">
        <v>59</v>
      </c>
      <c r="AH79" s="117" t="s">
        <v>4386</v>
      </c>
      <c r="AI79" s="117">
        <v>-10000000</v>
      </c>
      <c r="AJ79" s="20">
        <v>1</v>
      </c>
      <c r="AK79" s="99">
        <f t="shared" si="14"/>
        <v>17</v>
      </c>
      <c r="AL79" s="117">
        <f t="shared" si="7"/>
        <v>-170000000</v>
      </c>
      <c r="AM79" s="20"/>
    </row>
    <row r="80" spans="1:39">
      <c r="K80" s="32" t="s">
        <v>320</v>
      </c>
      <c r="L80" s="1">
        <v>40000</v>
      </c>
      <c r="N80" s="96"/>
      <c r="P80" s="115"/>
      <c r="X80" s="115"/>
      <c r="Z80">
        <v>184</v>
      </c>
      <c r="AD80" s="115"/>
      <c r="AE80" s="115"/>
      <c r="AG80" s="20">
        <v>60</v>
      </c>
      <c r="AH80" s="117" t="s">
        <v>4387</v>
      </c>
      <c r="AI80" s="117">
        <v>-2450000</v>
      </c>
      <c r="AJ80" s="20">
        <v>5</v>
      </c>
      <c r="AK80" s="99">
        <f t="shared" si="14"/>
        <v>16</v>
      </c>
      <c r="AL80" s="117">
        <f t="shared" si="7"/>
        <v>-39200000</v>
      </c>
      <c r="AM80" s="20"/>
    </row>
    <row r="81" spans="11:51">
      <c r="K81" s="32" t="s">
        <v>322</v>
      </c>
      <c r="L81" s="1">
        <v>150000</v>
      </c>
      <c r="N81" s="96"/>
      <c r="P81" s="115"/>
      <c r="X81" s="163"/>
      <c r="Z81">
        <v>183</v>
      </c>
      <c r="AD81" s="115"/>
      <c r="AE81" s="115"/>
      <c r="AG81" s="20">
        <v>61</v>
      </c>
      <c r="AH81" s="117" t="s">
        <v>4415</v>
      </c>
      <c r="AI81" s="117">
        <v>-456081</v>
      </c>
      <c r="AJ81" s="20">
        <v>1</v>
      </c>
      <c r="AK81" s="99">
        <f t="shared" si="14"/>
        <v>11</v>
      </c>
      <c r="AL81" s="117">
        <f t="shared" si="7"/>
        <v>-5016891</v>
      </c>
      <c r="AM81" s="20"/>
    </row>
    <row r="82" spans="11:51">
      <c r="K82" s="32" t="s">
        <v>324</v>
      </c>
      <c r="L82" s="1">
        <v>75000</v>
      </c>
      <c r="P82" s="115"/>
      <c r="X82" s="115"/>
      <c r="Y82" s="115"/>
      <c r="Z82" s="115">
        <v>182</v>
      </c>
      <c r="AA82" s="115"/>
      <c r="AB82" s="115"/>
      <c r="AC82" s="115"/>
      <c r="AD82" s="115"/>
      <c r="AE82" s="115"/>
      <c r="AG82" s="20">
        <v>62</v>
      </c>
      <c r="AH82" s="117" t="s">
        <v>4418</v>
      </c>
      <c r="AI82" s="117">
        <v>-500000</v>
      </c>
      <c r="AJ82" s="20">
        <v>2</v>
      </c>
      <c r="AK82" s="99">
        <f t="shared" si="14"/>
        <v>10</v>
      </c>
      <c r="AL82" s="117">
        <f t="shared" si="7"/>
        <v>-5000000</v>
      </c>
      <c r="AM82" s="20"/>
      <c r="AN82" t="s">
        <v>25</v>
      </c>
      <c r="AQ82" t="s">
        <v>25</v>
      </c>
      <c r="AV82" t="s">
        <v>25</v>
      </c>
    </row>
    <row r="83" spans="11:51">
      <c r="K83" s="32" t="s">
        <v>314</v>
      </c>
      <c r="L83" s="1">
        <v>140000</v>
      </c>
      <c r="P83" s="115"/>
      <c r="Q83" s="185"/>
      <c r="R83" s="185"/>
      <c r="S83" s="115"/>
      <c r="X83" s="115"/>
      <c r="Y83" s="128" t="s">
        <v>4510</v>
      </c>
      <c r="Z83" s="115"/>
      <c r="AA83" s="115"/>
      <c r="AB83" s="115"/>
      <c r="AC83" s="128"/>
      <c r="AD83" s="115"/>
      <c r="AE83" s="115"/>
      <c r="AG83" s="20">
        <v>63</v>
      </c>
      <c r="AH83" s="117" t="s">
        <v>4440</v>
      </c>
      <c r="AI83" s="117">
        <v>-6234370</v>
      </c>
      <c r="AJ83" s="20">
        <v>3</v>
      </c>
      <c r="AK83" s="99">
        <f t="shared" si="14"/>
        <v>8</v>
      </c>
      <c r="AL83" s="117">
        <f t="shared" si="7"/>
        <v>-49874960</v>
      </c>
      <c r="AM83" s="20"/>
    </row>
    <row r="84" spans="11:51">
      <c r="K84" s="2" t="s">
        <v>478</v>
      </c>
      <c r="L84" s="3">
        <v>1083333</v>
      </c>
      <c r="P84" s="115"/>
      <c r="Q84" s="115"/>
      <c r="R84" s="115"/>
      <c r="S84" s="115"/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4451</v>
      </c>
      <c r="AI84" s="117">
        <v>1950957</v>
      </c>
      <c r="AJ84" s="20">
        <v>4</v>
      </c>
      <c r="AK84" s="99">
        <f t="shared" si="14"/>
        <v>5</v>
      </c>
      <c r="AL84" s="117">
        <f t="shared" si="7"/>
        <v>9754785</v>
      </c>
      <c r="AM84" s="20"/>
      <c r="AY84" t="s">
        <v>25</v>
      </c>
    </row>
    <row r="85" spans="11:51">
      <c r="K85" s="2"/>
      <c r="L85" s="3"/>
      <c r="P85" s="128"/>
      <c r="Q85" s="115"/>
      <c r="R85" s="115"/>
      <c r="S85" s="115"/>
      <c r="X85" s="115"/>
      <c r="Y85" s="128"/>
      <c r="Z85" s="115"/>
      <c r="AA85" s="115"/>
      <c r="AB85" s="115"/>
      <c r="AC85" s="128"/>
      <c r="AD85" s="115"/>
      <c r="AE85" s="115"/>
      <c r="AG85" s="20">
        <v>65</v>
      </c>
      <c r="AH85" s="117" t="s">
        <v>4502</v>
      </c>
      <c r="AI85" s="117">
        <v>600000</v>
      </c>
      <c r="AJ85" s="20">
        <v>1</v>
      </c>
      <c r="AK85" s="99">
        <f t="shared" si="14"/>
        <v>1</v>
      </c>
      <c r="AL85" s="117">
        <f t="shared" si="7"/>
        <v>600000</v>
      </c>
      <c r="AM85" s="20"/>
      <c r="AU85" t="s">
        <v>25</v>
      </c>
    </row>
    <row r="86" spans="11:51">
      <c r="K86" s="2"/>
      <c r="L86" s="3"/>
      <c r="P86" s="128"/>
      <c r="Q86" s="115"/>
      <c r="R86" s="115"/>
      <c r="S86" s="115"/>
      <c r="X86" s="115"/>
      <c r="Y86" s="128"/>
      <c r="Z86" s="115"/>
      <c r="AA86" s="115"/>
      <c r="AB86" s="115"/>
      <c r="AC86" s="128"/>
      <c r="AD86" s="115"/>
      <c r="AE86" s="115"/>
      <c r="AG86" s="20"/>
      <c r="AH86" s="117"/>
      <c r="AI86" s="117"/>
      <c r="AJ86" s="20"/>
      <c r="AK86" s="99">
        <f t="shared" si="14"/>
        <v>0</v>
      </c>
      <c r="AL86" s="117">
        <f t="shared" si="7"/>
        <v>0</v>
      </c>
      <c r="AM86" s="20"/>
    </row>
    <row r="87" spans="11:51">
      <c r="K87" s="2" t="s">
        <v>6</v>
      </c>
      <c r="L87" s="3">
        <f>SUM(L64:L85)</f>
        <v>3383333</v>
      </c>
      <c r="P87" s="115"/>
      <c r="Q87" s="115"/>
      <c r="R87" s="115"/>
      <c r="S87" s="115"/>
      <c r="X87" s="115"/>
      <c r="Y87" s="128"/>
      <c r="Z87" s="115"/>
      <c r="AA87" s="115"/>
      <c r="AB87" s="115"/>
      <c r="AC87" s="128"/>
      <c r="AD87" s="115"/>
      <c r="AE87" s="115"/>
      <c r="AG87" s="99"/>
      <c r="AH87" s="113"/>
      <c r="AI87" s="113"/>
      <c r="AJ87" s="99"/>
      <c r="AK87" s="99">
        <f t="shared" si="14"/>
        <v>0</v>
      </c>
      <c r="AL87" s="117">
        <f t="shared" si="7"/>
        <v>0</v>
      </c>
      <c r="AM87" s="99"/>
      <c r="AT87" s="96" t="s">
        <v>25</v>
      </c>
    </row>
    <row r="88" spans="11:51">
      <c r="K88" s="2" t="s">
        <v>328</v>
      </c>
      <c r="L88" s="3">
        <f>L87/30</f>
        <v>112777.76666666666</v>
      </c>
      <c r="Q88" s="115"/>
      <c r="R88" s="115"/>
      <c r="S88" s="115"/>
      <c r="X88" s="115"/>
      <c r="Y88" s="128"/>
      <c r="Z88" s="115"/>
      <c r="AA88" s="115"/>
      <c r="AB88" s="115"/>
      <c r="AC88" s="128"/>
      <c r="AD88" s="115"/>
      <c r="AE88" s="115"/>
      <c r="AG88" s="99"/>
      <c r="AH88" s="113"/>
      <c r="AI88" s="113"/>
      <c r="AJ88" s="99"/>
      <c r="AK88" s="99">
        <f t="shared" si="14"/>
        <v>0</v>
      </c>
      <c r="AL88" s="117">
        <f t="shared" si="7"/>
        <v>0</v>
      </c>
      <c r="AM88" s="99"/>
      <c r="AT88" s="96" t="s">
        <v>25</v>
      </c>
    </row>
    <row r="89" spans="11:51">
      <c r="O89" s="115"/>
      <c r="Q89" s="115"/>
      <c r="R89" s="115"/>
      <c r="S89" s="115"/>
      <c r="X89" s="115"/>
      <c r="Y89" s="115"/>
      <c r="Z89" s="115"/>
      <c r="AA89" s="115"/>
      <c r="AB89" s="115"/>
      <c r="AC89" s="115"/>
      <c r="AD89" s="115"/>
      <c r="AE89" s="115"/>
      <c r="AG89" s="99"/>
      <c r="AH89" s="99"/>
      <c r="AI89" s="95">
        <f>SUM(AI20:AI87)</f>
        <v>193734405</v>
      </c>
      <c r="AJ89" s="99"/>
      <c r="AK89" s="99"/>
      <c r="AL89" s="95">
        <f>SUM(AL20:AL88)</f>
        <v>20205544140</v>
      </c>
      <c r="AM89" s="95">
        <f>AL89*AM92/31</f>
        <v>13035834.929032259</v>
      </c>
      <c r="AP89" t="s">
        <v>25</v>
      </c>
      <c r="AU89" t="s">
        <v>25</v>
      </c>
    </row>
    <row r="90" spans="11:51">
      <c r="O90" s="115"/>
      <c r="Q90" s="115"/>
      <c r="R90" s="115"/>
      <c r="S90" s="115"/>
      <c r="X90" s="115"/>
      <c r="Y90" s="115"/>
      <c r="Z90" s="115"/>
      <c r="AA90" s="115"/>
      <c r="AB90" s="115"/>
      <c r="AC90" s="115"/>
      <c r="AE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Q91" s="115"/>
      <c r="R91" s="115"/>
      <c r="S91" s="115"/>
      <c r="X91" s="115"/>
      <c r="Y91" s="115"/>
      <c r="Z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Q92" s="115"/>
      <c r="R92" s="115"/>
      <c r="S92" s="115"/>
      <c r="Y92" s="115"/>
      <c r="Z92" s="115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Q93" s="115"/>
      <c r="R93" s="115"/>
      <c r="S93" s="115"/>
      <c r="Y93" s="115"/>
      <c r="Z93" s="115"/>
      <c r="AG93" s="99"/>
      <c r="AH93" s="99"/>
      <c r="AI93" s="99"/>
      <c r="AJ93" s="99"/>
      <c r="AK93" s="99"/>
      <c r="AL93" s="99"/>
      <c r="AM93" s="99"/>
    </row>
    <row r="94" spans="11:51">
      <c r="K94" s="48" t="s">
        <v>788</v>
      </c>
      <c r="L94" s="48" t="s">
        <v>476</v>
      </c>
      <c r="Q94" s="115"/>
      <c r="R94" s="115"/>
      <c r="S94" s="115"/>
      <c r="AG94" s="99"/>
      <c r="AH94" s="99" t="s">
        <v>4066</v>
      </c>
      <c r="AI94" s="95">
        <f>AI89+AM89</f>
        <v>206770239.92903227</v>
      </c>
      <c r="AJ94" s="99"/>
      <c r="AK94" s="99"/>
      <c r="AL94" s="99"/>
      <c r="AM94" s="99"/>
    </row>
    <row r="95" spans="11:51">
      <c r="K95" s="47">
        <v>700000</v>
      </c>
      <c r="L95" s="48" t="s">
        <v>1040</v>
      </c>
      <c r="Q95" s="115"/>
      <c r="R95" s="115"/>
      <c r="S95" s="115"/>
      <c r="AH95" t="s">
        <v>4069</v>
      </c>
      <c r="AI95" s="114">
        <f>SUM(N40:N46)-N42+N38</f>
        <v>219616386.79999998</v>
      </c>
    </row>
    <row r="96" spans="11:51">
      <c r="K96" s="47">
        <v>500000</v>
      </c>
      <c r="L96" s="48" t="s">
        <v>479</v>
      </c>
      <c r="Q96" s="115"/>
      <c r="R96" s="115"/>
      <c r="S96" s="115"/>
      <c r="T96" s="115"/>
      <c r="U96" s="115"/>
      <c r="AH96" t="s">
        <v>4143</v>
      </c>
      <c r="AI96" s="114">
        <f>AI95-AI89</f>
        <v>25881981.799999982</v>
      </c>
    </row>
    <row r="97" spans="8:39">
      <c r="K97" s="47">
        <v>180000</v>
      </c>
      <c r="L97" s="48" t="s">
        <v>558</v>
      </c>
      <c r="Q97" s="115"/>
      <c r="R97" s="115"/>
      <c r="S97" s="115"/>
      <c r="T97" s="115"/>
      <c r="U97" s="115"/>
      <c r="AH97" t="s">
        <v>944</v>
      </c>
      <c r="AI97" s="114">
        <f>AM89</f>
        <v>13035834.929032259</v>
      </c>
    </row>
    <row r="98" spans="8:39">
      <c r="H98" s="96"/>
      <c r="K98" s="47">
        <v>0</v>
      </c>
      <c r="L98" s="48" t="s">
        <v>784</v>
      </c>
      <c r="Q98" s="55"/>
      <c r="R98" s="186"/>
      <c r="S98" s="115"/>
      <c r="T98" s="115"/>
      <c r="U98" s="115"/>
      <c r="AH98" t="s">
        <v>4070</v>
      </c>
      <c r="AI98" s="114">
        <f>AI95-AI94</f>
        <v>12846146.870967716</v>
      </c>
    </row>
    <row r="99" spans="8:39">
      <c r="K99" s="47">
        <v>0</v>
      </c>
      <c r="L99" s="48" t="s">
        <v>785</v>
      </c>
      <c r="Q99" s="55"/>
      <c r="R99" s="186"/>
      <c r="S99" s="115"/>
      <c r="T99" s="115"/>
      <c r="U99" s="115"/>
    </row>
    <row r="100" spans="8:39">
      <c r="K100" s="47">
        <v>500000</v>
      </c>
      <c r="L100" s="48" t="s">
        <v>786</v>
      </c>
      <c r="Q100" s="26"/>
      <c r="R100" s="186"/>
      <c r="S100" s="115"/>
      <c r="AI100" t="s">
        <v>25</v>
      </c>
    </row>
    <row r="101" spans="8:39">
      <c r="K101" s="47">
        <v>75000</v>
      </c>
      <c r="L101" s="48" t="s">
        <v>787</v>
      </c>
      <c r="Q101" s="55"/>
      <c r="R101" s="186"/>
      <c r="S101" s="122"/>
    </row>
    <row r="102" spans="8:39">
      <c r="K102" s="47">
        <v>0</v>
      </c>
      <c r="L102" s="48" t="s">
        <v>789</v>
      </c>
      <c r="Q102" s="55"/>
      <c r="R102" s="186"/>
      <c r="S102" s="115"/>
    </row>
    <row r="103" spans="8:39">
      <c r="K103" s="47">
        <v>500000</v>
      </c>
      <c r="L103" s="48" t="s">
        <v>564</v>
      </c>
      <c r="Q103" s="122"/>
      <c r="R103" s="115"/>
      <c r="S103" s="115"/>
    </row>
    <row r="104" spans="8:39">
      <c r="K104" s="47">
        <v>50000</v>
      </c>
      <c r="L104" s="48" t="s">
        <v>792</v>
      </c>
    </row>
    <row r="105" spans="8:39">
      <c r="K105" s="47">
        <v>140000</v>
      </c>
      <c r="L105" s="48" t="s">
        <v>314</v>
      </c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4322</v>
      </c>
    </row>
    <row r="106" spans="8:39">
      <c r="K106" s="47"/>
      <c r="L106" s="48" t="s">
        <v>25</v>
      </c>
      <c r="Q106" s="22"/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123</v>
      </c>
      <c r="AL106" s="99">
        <f>AI106*AK106</f>
        <v>437365860</v>
      </c>
      <c r="AM106" s="99" t="s">
        <v>4348</v>
      </c>
    </row>
    <row r="107" spans="8:39">
      <c r="K107" s="47">
        <f>SUM(K95:K106)</f>
        <v>2645000</v>
      </c>
      <c r="L107" s="48" t="s">
        <v>6</v>
      </c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5">AJ107+AK108</f>
        <v>121</v>
      </c>
      <c r="AL107" s="99">
        <f t="shared" ref="AL107:AL129" si="16">AI107*AK107</f>
        <v>208221277</v>
      </c>
      <c r="AM107" s="99" t="s">
        <v>4349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5"/>
        <v>70</v>
      </c>
      <c r="AL108" s="99">
        <f t="shared" si="16"/>
        <v>10500000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5"/>
        <v>67</v>
      </c>
      <c r="AL109" s="99">
        <f t="shared" si="16"/>
        <v>-6365000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5"/>
        <v>59</v>
      </c>
      <c r="AL110" s="99">
        <f t="shared" si="16"/>
        <v>185850000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5"/>
        <v>43</v>
      </c>
      <c r="AL111" s="99">
        <f t="shared" si="16"/>
        <v>-2795000</v>
      </c>
      <c r="AM111" s="99"/>
    </row>
    <row r="112" spans="8:39">
      <c r="AG112" s="99">
        <v>7</v>
      </c>
      <c r="AH112" s="99" t="s">
        <v>4350</v>
      </c>
      <c r="AI112" s="117">
        <v>-95000</v>
      </c>
      <c r="AJ112" s="99">
        <v>6</v>
      </c>
      <c r="AK112" s="99">
        <f t="shared" si="15"/>
        <v>42</v>
      </c>
      <c r="AL112" s="99">
        <f t="shared" si="16"/>
        <v>-3990000</v>
      </c>
      <c r="AM112" s="99"/>
    </row>
    <row r="113" spans="33:42">
      <c r="AG113" s="99">
        <v>8</v>
      </c>
      <c r="AH113" s="99" t="s">
        <v>4351</v>
      </c>
      <c r="AI113" s="117">
        <v>232000</v>
      </c>
      <c r="AJ113" s="99">
        <v>7</v>
      </c>
      <c r="AK113" s="99">
        <f t="shared" si="15"/>
        <v>36</v>
      </c>
      <c r="AL113" s="99">
        <f t="shared" si="16"/>
        <v>8352000</v>
      </c>
      <c r="AM113" s="99"/>
    </row>
    <row r="114" spans="33:42">
      <c r="AG114" s="99">
        <v>9</v>
      </c>
      <c r="AH114" s="99" t="s">
        <v>4320</v>
      </c>
      <c r="AI114" s="117">
        <v>13000000</v>
      </c>
      <c r="AJ114" s="99">
        <v>2</v>
      </c>
      <c r="AK114" s="99">
        <f t="shared" si="15"/>
        <v>29</v>
      </c>
      <c r="AL114" s="99">
        <f t="shared" si="16"/>
        <v>377000000</v>
      </c>
      <c r="AM114" s="99"/>
    </row>
    <row r="115" spans="33:42">
      <c r="AG115" s="99">
        <v>10</v>
      </c>
      <c r="AH115" s="99" t="s">
        <v>4352</v>
      </c>
      <c r="AI115" s="117">
        <v>10000000</v>
      </c>
      <c r="AJ115" s="99">
        <v>3</v>
      </c>
      <c r="AK115" s="99">
        <f t="shared" si="15"/>
        <v>27</v>
      </c>
      <c r="AL115" s="99">
        <f t="shared" si="16"/>
        <v>270000000</v>
      </c>
      <c r="AM115" s="99"/>
    </row>
    <row r="116" spans="33:42">
      <c r="AG116" s="99">
        <v>11</v>
      </c>
      <c r="AH116" s="99" t="s">
        <v>4335</v>
      </c>
      <c r="AI116" s="117">
        <v>3400000</v>
      </c>
      <c r="AJ116" s="99">
        <v>9</v>
      </c>
      <c r="AK116" s="99">
        <f t="shared" si="15"/>
        <v>24</v>
      </c>
      <c r="AL116" s="99">
        <f t="shared" si="16"/>
        <v>81600000</v>
      </c>
      <c r="AM116" s="99"/>
    </row>
    <row r="117" spans="33:42">
      <c r="AG117" s="99">
        <v>12</v>
      </c>
      <c r="AH117" s="99" t="s">
        <v>4386</v>
      </c>
      <c r="AI117" s="117">
        <v>-8736514</v>
      </c>
      <c r="AJ117" s="99">
        <v>1</v>
      </c>
      <c r="AK117" s="99">
        <f>AJ117+AK118</f>
        <v>15</v>
      </c>
      <c r="AL117" s="99">
        <f t="shared" si="16"/>
        <v>-131047710</v>
      </c>
      <c r="AM117" s="99"/>
    </row>
    <row r="118" spans="33:42">
      <c r="AG118" s="99">
        <v>13</v>
      </c>
      <c r="AH118" s="99" t="s">
        <v>4387</v>
      </c>
      <c r="AI118" s="117">
        <v>555000</v>
      </c>
      <c r="AJ118" s="99">
        <v>5</v>
      </c>
      <c r="AK118" s="99">
        <f t="shared" ref="AK118:AK128" si="17">AJ118+AK119</f>
        <v>14</v>
      </c>
      <c r="AL118" s="99">
        <f t="shared" si="16"/>
        <v>7770000</v>
      </c>
      <c r="AM118" s="99"/>
    </row>
    <row r="119" spans="33:42">
      <c r="AG119" s="99">
        <v>14</v>
      </c>
      <c r="AH119" s="99" t="s">
        <v>4415</v>
      </c>
      <c r="AI119" s="117">
        <v>-448308</v>
      </c>
      <c r="AJ119" s="99">
        <v>6</v>
      </c>
      <c r="AK119" s="99">
        <f t="shared" si="17"/>
        <v>9</v>
      </c>
      <c r="AL119" s="99">
        <f t="shared" si="16"/>
        <v>-4034772</v>
      </c>
      <c r="AM119" s="99"/>
      <c r="AP119" t="s">
        <v>25</v>
      </c>
    </row>
    <row r="120" spans="33:42">
      <c r="AG120" s="99">
        <v>15</v>
      </c>
      <c r="AH120" s="99" t="s">
        <v>4451</v>
      </c>
      <c r="AI120" s="117">
        <v>33225</v>
      </c>
      <c r="AJ120" s="99">
        <v>0</v>
      </c>
      <c r="AK120" s="99">
        <f t="shared" si="17"/>
        <v>3</v>
      </c>
      <c r="AL120" s="99">
        <f t="shared" si="16"/>
        <v>99675</v>
      </c>
      <c r="AM120" s="99"/>
      <c r="AN120" t="s">
        <v>25</v>
      </c>
    </row>
    <row r="121" spans="33:42">
      <c r="AG121" s="149">
        <v>16</v>
      </c>
      <c r="AH121" s="149" t="s">
        <v>4451</v>
      </c>
      <c r="AI121" s="195">
        <v>4098523</v>
      </c>
      <c r="AJ121" s="149">
        <v>2</v>
      </c>
      <c r="AK121" s="149">
        <f t="shared" si="17"/>
        <v>3</v>
      </c>
      <c r="AL121" s="149">
        <f t="shared" si="16"/>
        <v>12295569</v>
      </c>
      <c r="AM121" s="149" t="s">
        <v>657</v>
      </c>
      <c r="AO121" t="s">
        <v>25</v>
      </c>
    </row>
    <row r="122" spans="33:42">
      <c r="AG122" s="149">
        <v>17</v>
      </c>
      <c r="AH122" s="149" t="s">
        <v>4477</v>
      </c>
      <c r="AI122" s="195">
        <v>-1000000</v>
      </c>
      <c r="AJ122" s="149">
        <v>1</v>
      </c>
      <c r="AK122" s="149">
        <f t="shared" si="17"/>
        <v>1</v>
      </c>
      <c r="AL122" s="149">
        <f t="shared" si="16"/>
        <v>-1000000</v>
      </c>
      <c r="AM122" s="149" t="s">
        <v>657</v>
      </c>
    </row>
    <row r="123" spans="33:42">
      <c r="AG123" s="99"/>
      <c r="AH123" s="99"/>
      <c r="AI123" s="117"/>
      <c r="AJ123" s="99"/>
      <c r="AK123" s="99">
        <f t="shared" si="17"/>
        <v>0</v>
      </c>
      <c r="AL123" s="99">
        <f t="shared" si="16"/>
        <v>0</v>
      </c>
      <c r="AM123" s="99"/>
    </row>
    <row r="124" spans="33:42">
      <c r="AG124" s="99"/>
      <c r="AH124" s="99"/>
      <c r="AI124" s="117"/>
      <c r="AJ124" s="99"/>
      <c r="AK124" s="99">
        <f t="shared" si="17"/>
        <v>0</v>
      </c>
      <c r="AL124" s="99">
        <f t="shared" si="16"/>
        <v>0</v>
      </c>
      <c r="AM124" s="99"/>
    </row>
    <row r="125" spans="33:42">
      <c r="AG125" s="99"/>
      <c r="AH125" s="99"/>
      <c r="AI125" s="117"/>
      <c r="AJ125" s="99"/>
      <c r="AK125" s="99">
        <f t="shared" si="17"/>
        <v>0</v>
      </c>
      <c r="AL125" s="99">
        <f t="shared" si="16"/>
        <v>0</v>
      </c>
      <c r="AM125" s="99"/>
    </row>
    <row r="126" spans="33:42">
      <c r="AG126" s="99"/>
      <c r="AH126" s="99"/>
      <c r="AI126" s="117"/>
      <c r="AJ126" s="99"/>
      <c r="AK126" s="99">
        <f t="shared" si="17"/>
        <v>0</v>
      </c>
      <c r="AL126" s="99">
        <f t="shared" si="16"/>
        <v>0</v>
      </c>
      <c r="AM126" s="99"/>
    </row>
    <row r="127" spans="33:42">
      <c r="AG127" s="99"/>
      <c r="AH127" s="99"/>
      <c r="AI127" s="117"/>
      <c r="AJ127" s="99"/>
      <c r="AK127" s="99">
        <f t="shared" si="17"/>
        <v>0</v>
      </c>
      <c r="AL127" s="99">
        <f t="shared" si="16"/>
        <v>0</v>
      </c>
      <c r="AM127" s="99"/>
    </row>
    <row r="128" spans="33:42">
      <c r="AG128" s="99"/>
      <c r="AH128" s="99"/>
      <c r="AI128" s="99"/>
      <c r="AJ128" s="99"/>
      <c r="AK128" s="99">
        <f t="shared" si="17"/>
        <v>0</v>
      </c>
      <c r="AL128" s="99">
        <f t="shared" si="16"/>
        <v>0</v>
      </c>
      <c r="AM128" s="99"/>
    </row>
    <row r="129" spans="33:39">
      <c r="AG129" s="99"/>
      <c r="AH129" s="99"/>
      <c r="AI129" s="99"/>
      <c r="AJ129" s="99"/>
      <c r="AK129" s="99">
        <f t="shared" si="15"/>
        <v>0</v>
      </c>
      <c r="AL129" s="99">
        <f t="shared" si="16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29455583</v>
      </c>
      <c r="AJ131" s="99"/>
      <c r="AK131" s="99"/>
      <c r="AL131" s="99">
        <f>SUM(AL106:AL130)</f>
        <v>1449821899</v>
      </c>
      <c r="AM131" s="95">
        <f>AL131*AM92/31</f>
        <v>935368.96709677426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30390951.967096776</v>
      </c>
    </row>
    <row r="135" spans="33:39">
      <c r="AH135" t="s">
        <v>4069</v>
      </c>
      <c r="AI135" s="114">
        <f>SUM(N19:N24)+N33</f>
        <v>28418378.200000003</v>
      </c>
    </row>
    <row r="136" spans="33:39">
      <c r="AH136" t="s">
        <v>4143</v>
      </c>
      <c r="AI136" s="114">
        <f>AI135-AI131</f>
        <v>-1037204.799999997</v>
      </c>
    </row>
    <row r="137" spans="33:39">
      <c r="AH137" t="s">
        <v>944</v>
      </c>
      <c r="AI137" s="114">
        <f>AM131</f>
        <v>935368.96709677426</v>
      </c>
    </row>
    <row r="138" spans="33:39">
      <c r="AH138" t="s">
        <v>4070</v>
      </c>
      <c r="AI138" s="114">
        <f>AI136-AI137</f>
        <v>-1972573.7670967714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3 AC32 P25 S3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3644</v>
      </c>
      <c r="B1" s="99" t="s">
        <v>180</v>
      </c>
      <c r="C1" s="99" t="s">
        <v>4292</v>
      </c>
      <c r="D1" s="99" t="s">
        <v>4293</v>
      </c>
      <c r="E1" s="99" t="s">
        <v>4294</v>
      </c>
      <c r="F1" s="99" t="s">
        <v>4295</v>
      </c>
      <c r="G1" s="74" t="s">
        <v>4296</v>
      </c>
      <c r="H1" s="74" t="s">
        <v>4509</v>
      </c>
      <c r="I1" s="74" t="s">
        <v>4330</v>
      </c>
      <c r="N1" s="99" t="s">
        <v>950</v>
      </c>
      <c r="O1" s="99">
        <v>6.3E-3</v>
      </c>
    </row>
    <row r="2" spans="1:25">
      <c r="A2" s="99">
        <v>1</v>
      </c>
      <c r="B2" s="99" t="s">
        <v>4181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4297</v>
      </c>
      <c r="G27" s="99" t="s">
        <v>4298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2018-11-24T15:27:03Z</dcterms:modified>
</cp:coreProperties>
</file>