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S47" i="18" l="1"/>
  <c r="P154" i="18" l="1"/>
  <c r="N24" i="18"/>
  <c r="N46" i="18"/>
  <c r="W260" i="18"/>
  <c r="P177" i="52"/>
  <c r="O177" i="52"/>
  <c r="J177" i="52"/>
  <c r="AB84" i="52"/>
  <c r="AC84" i="52" l="1"/>
  <c r="AB88" i="52"/>
  <c r="AB83" i="52"/>
  <c r="O176" i="52"/>
  <c r="J176" i="52"/>
  <c r="P176" i="52"/>
  <c r="AC83" i="52" l="1"/>
  <c r="AB82" i="52"/>
  <c r="AC82" i="52" l="1"/>
  <c r="P29" i="18"/>
  <c r="N29" i="18" s="1"/>
  <c r="P23" i="18"/>
  <c r="N23" i="18" s="1"/>
  <c r="N47" i="18"/>
  <c r="J174" i="52"/>
  <c r="W259" i="18"/>
  <c r="AB81" i="52"/>
  <c r="AC81" i="52" s="1"/>
  <c r="AB80" i="52"/>
  <c r="AC80" i="52" s="1"/>
  <c r="J168" i="52" l="1"/>
  <c r="O168" i="52"/>
  <c r="W258" i="18"/>
  <c r="AL317" i="18" l="1"/>
  <c r="AM317" i="18" s="1"/>
  <c r="O167" i="52"/>
  <c r="W257" i="18"/>
  <c r="AL316" i="18" l="1"/>
  <c r="O166" i="52"/>
  <c r="W256" i="18"/>
  <c r="AL315" i="18" l="1"/>
  <c r="AM316" i="18"/>
  <c r="W255" i="18"/>
  <c r="O165" i="52"/>
  <c r="J165" i="52"/>
  <c r="P22" i="18"/>
  <c r="N22" i="18" s="1"/>
  <c r="L48" i="18"/>
  <c r="AM315" i="18" l="1"/>
  <c r="AL314" i="18"/>
  <c r="C7" i="60"/>
  <c r="D3" i="60"/>
  <c r="D4" i="60"/>
  <c r="D5" i="60"/>
  <c r="D2" i="60"/>
  <c r="F2" i="60"/>
  <c r="AL313" i="18" l="1"/>
  <c r="AM314" i="18"/>
  <c r="P35" i="60"/>
  <c r="AM313" i="18" l="1"/>
  <c r="AL312" i="18"/>
  <c r="O162" i="52"/>
  <c r="J162" i="52"/>
  <c r="AL190" i="18"/>
  <c r="W254" i="18"/>
  <c r="AM190" i="18" l="1"/>
  <c r="AL189" i="18"/>
  <c r="AL311" i="18"/>
  <c r="AM312"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N167" i="52"/>
  <c r="N166" i="52"/>
  <c r="N165" i="52"/>
  <c r="N164" i="52"/>
  <c r="N163" i="52"/>
  <c r="N162" i="52"/>
  <c r="P162" i="52" s="1"/>
  <c r="N161" i="52"/>
  <c r="AM189" i="18" l="1"/>
  <c r="AL188" i="18"/>
  <c r="P166" i="52"/>
  <c r="P174" i="52"/>
  <c r="P168" i="52"/>
  <c r="P165" i="52"/>
  <c r="P167" i="52"/>
  <c r="AM311" i="18"/>
  <c r="AL310" i="18"/>
  <c r="O160" i="52"/>
  <c r="J160" i="52"/>
  <c r="N160" i="52"/>
  <c r="AB79" i="52"/>
  <c r="AM188" i="18" l="1"/>
  <c r="AL187" i="18"/>
  <c r="AL309" i="18"/>
  <c r="AM310" i="18"/>
  <c r="AC79" i="52"/>
  <c r="K65" i="18"/>
  <c r="K66" i="18" s="1"/>
  <c r="J63" i="18"/>
  <c r="L44" i="18"/>
  <c r="W253" i="18"/>
  <c r="AB78" i="52"/>
  <c r="AC78" i="52" s="1"/>
  <c r="AM187" i="18" l="1"/>
  <c r="AL186" i="18"/>
  <c r="AM309" i="18"/>
  <c r="AL308" i="18"/>
  <c r="W252" i="18"/>
  <c r="AM186" i="18" l="1"/>
  <c r="AL185" i="18"/>
  <c r="AL307" i="18"/>
  <c r="AM308" i="18"/>
  <c r="AF76" i="52"/>
  <c r="AB77" i="52"/>
  <c r="AC77" i="52" s="1"/>
  <c r="AB76" i="52"/>
  <c r="AC76" i="52" s="1"/>
  <c r="AM185" i="18" l="1"/>
  <c r="AL184" i="18"/>
  <c r="AM307" i="18"/>
  <c r="AL306" i="18"/>
  <c r="N159" i="52"/>
  <c r="P160" i="52" s="1"/>
  <c r="W251" i="18"/>
  <c r="AM184" i="18" l="1"/>
  <c r="AL183" i="18"/>
  <c r="AL305" i="18"/>
  <c r="AM306" i="18"/>
  <c r="O159" i="52"/>
  <c r="O161" i="52"/>
  <c r="P161" i="52"/>
  <c r="O163" i="52"/>
  <c r="P163" i="52"/>
  <c r="O164" i="52"/>
  <c r="P164" i="52"/>
  <c r="O169" i="52"/>
  <c r="P169" i="52"/>
  <c r="O170" i="52"/>
  <c r="P170" i="52"/>
  <c r="O171" i="52"/>
  <c r="P171" i="52"/>
  <c r="O172" i="52"/>
  <c r="P172" i="52"/>
  <c r="O173" i="52"/>
  <c r="P173" i="52"/>
  <c r="O174" i="52"/>
  <c r="O175" i="52"/>
  <c r="P175"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183" i="18" l="1"/>
  <c r="AL182" i="18"/>
  <c r="AM305" i="18"/>
  <c r="AL304" i="18"/>
  <c r="M103" i="18"/>
  <c r="AM182" i="18" l="1"/>
  <c r="AL181" i="18"/>
  <c r="AL303" i="18"/>
  <c r="AM304" i="18"/>
  <c r="G121" i="18"/>
  <c r="J121" i="18" s="1"/>
  <c r="G120" i="18"/>
  <c r="J120" i="18" s="1"/>
  <c r="J151" i="52"/>
  <c r="AL180" i="18" l="1"/>
  <c r="AM181" i="18"/>
  <c r="AM303" i="18"/>
  <c r="AL302" i="18"/>
  <c r="W250" i="18"/>
  <c r="K109" i="18"/>
  <c r="W249" i="18"/>
  <c r="O150" i="52"/>
  <c r="AM180" i="18" l="1"/>
  <c r="AL179" i="18"/>
  <c r="AL301" i="18"/>
  <c r="AM302" i="18"/>
  <c r="D77" i="52"/>
  <c r="AL178" i="18" l="1"/>
  <c r="AM178" i="18" s="1"/>
  <c r="AM179" i="18"/>
  <c r="AM301" i="18"/>
  <c r="AL300" i="18"/>
  <c r="AD59" i="52"/>
  <c r="Q146" i="52"/>
  <c r="J146" i="52"/>
  <c r="W24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9" i="18" l="1"/>
  <c r="AM300" i="18"/>
  <c r="P205" i="52"/>
  <c r="P151" i="52"/>
  <c r="P150" i="52"/>
  <c r="P157" i="52"/>
  <c r="P148" i="52"/>
  <c r="P158" i="52"/>
  <c r="P156" i="52"/>
  <c r="P155" i="52"/>
  <c r="P154" i="52"/>
  <c r="P153" i="52"/>
  <c r="P152" i="52"/>
  <c r="P149" i="52"/>
  <c r="P147" i="52"/>
  <c r="O145" i="52"/>
  <c r="J145" i="52"/>
  <c r="J144" i="52"/>
  <c r="J143" i="52"/>
  <c r="AM299" i="18" l="1"/>
  <c r="AL298" i="18"/>
  <c r="W247" i="18"/>
  <c r="AL297" i="18" l="1"/>
  <c r="AM298" i="18"/>
  <c r="G133" i="18"/>
  <c r="J133" i="18" s="1"/>
  <c r="J135" i="18" s="1"/>
  <c r="I135" i="18" s="1"/>
  <c r="G127" i="18"/>
  <c r="J127" i="18" s="1"/>
  <c r="J129" i="18" s="1"/>
  <c r="I129" i="18" s="1"/>
  <c r="W246" i="18"/>
  <c r="AM297" i="18" l="1"/>
  <c r="AL296" i="18"/>
  <c r="O142" i="52"/>
  <c r="J142" i="52"/>
  <c r="N44" i="18"/>
  <c r="W245" i="18"/>
  <c r="P25" i="18"/>
  <c r="AL295" i="18" l="1"/>
  <c r="AM296" i="18"/>
  <c r="P28" i="18"/>
  <c r="N28" i="18" s="1"/>
  <c r="O140" i="52"/>
  <c r="J140" i="52"/>
  <c r="W244" i="18"/>
  <c r="AM295" i="18" l="1"/>
  <c r="AL294" i="18"/>
  <c r="W243" i="18"/>
  <c r="W242" i="18"/>
  <c r="O139" i="52"/>
  <c r="J139" i="52"/>
  <c r="AB73" i="52"/>
  <c r="AL293" i="18" l="1"/>
  <c r="AM293" i="18" s="1"/>
  <c r="AM294" i="18"/>
  <c r="AD73" i="52"/>
  <c r="AC73" i="52"/>
  <c r="W241" i="18"/>
  <c r="AB72" i="52" l="1"/>
  <c r="AD72" i="52" s="1"/>
  <c r="AB71" i="52"/>
  <c r="AD71" i="52" s="1"/>
  <c r="AC72" i="52" l="1"/>
  <c r="AC71" i="52"/>
  <c r="M41" i="52"/>
  <c r="O135" i="52" l="1"/>
  <c r="J135" i="52"/>
  <c r="AD57" i="52"/>
  <c r="AB69" i="52"/>
  <c r="AD69" i="52" s="1"/>
  <c r="AB70" i="52"/>
  <c r="AD70" i="52" s="1"/>
  <c r="AC70" i="52" l="1"/>
  <c r="AC69" i="52"/>
  <c r="W240" i="18" l="1"/>
  <c r="O132" i="52" l="1"/>
  <c r="W239" i="18"/>
  <c r="O131" i="52" l="1"/>
  <c r="J3" i="60"/>
  <c r="J4" i="60"/>
  <c r="J5" i="60"/>
  <c r="J2" i="60"/>
  <c r="I9" i="60"/>
  <c r="I7" i="60"/>
  <c r="O130" i="52" l="1"/>
  <c r="O129" i="52"/>
  <c r="W238" i="18"/>
  <c r="S196" i="18"/>
  <c r="W237" i="18"/>
  <c r="N129" i="52" l="1"/>
  <c r="O127" i="52" l="1"/>
  <c r="J126" i="52" l="1"/>
  <c r="O126" i="52"/>
  <c r="W236" i="18"/>
  <c r="O125" i="52" l="1"/>
  <c r="J125" i="52"/>
  <c r="AL292" i="18" l="1"/>
  <c r="U263" i="18"/>
  <c r="W235" i="18"/>
  <c r="AM292" i="18" l="1"/>
  <c r="AL29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P143" i="52" l="1"/>
  <c r="P139" i="52"/>
  <c r="P146" i="52"/>
  <c r="P145" i="52"/>
  <c r="P144" i="52"/>
  <c r="P140" i="52"/>
  <c r="P142" i="52"/>
  <c r="P132" i="52"/>
  <c r="P127" i="52"/>
  <c r="P138" i="52"/>
  <c r="P135" i="52"/>
  <c r="P131" i="52"/>
  <c r="P126" i="52"/>
  <c r="P136" i="52"/>
  <c r="P134" i="52"/>
  <c r="AM291" i="18"/>
  <c r="AL290" i="18"/>
  <c r="P128" i="52"/>
  <c r="P141" i="52"/>
  <c r="P137" i="52"/>
  <c r="P133" i="52"/>
  <c r="P125" i="52"/>
  <c r="O123" i="52"/>
  <c r="N123" i="52"/>
  <c r="P124" i="52" s="1"/>
  <c r="J123" i="52"/>
  <c r="AM290" i="18" l="1"/>
  <c r="AL289" i="18"/>
  <c r="W233" i="18"/>
  <c r="AL288" i="18" l="1"/>
  <c r="AM289" i="18"/>
  <c r="D84" i="58"/>
  <c r="AM288" i="18" l="1"/>
  <c r="AL287" i="18"/>
  <c r="O121" i="52"/>
  <c r="J121" i="52"/>
  <c r="W232" i="18"/>
  <c r="AM287" i="18" l="1"/>
  <c r="AL286" i="18"/>
  <c r="W231" i="18"/>
  <c r="J120" i="52"/>
  <c r="M104" i="18"/>
  <c r="AM286" i="18" l="1"/>
  <c r="AL285" i="18"/>
  <c r="AM285" i="18" l="1"/>
  <c r="AL284" i="18"/>
  <c r="O117" i="52"/>
  <c r="AM284" i="18" l="1"/>
  <c r="AL283" i="18"/>
  <c r="O116" i="52"/>
  <c r="N116" i="52"/>
  <c r="AL282" i="18" l="1"/>
  <c r="AM283" i="18"/>
  <c r="W230" i="18"/>
  <c r="AM282" i="18" l="1"/>
  <c r="AL281"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81" i="18" l="1"/>
  <c r="AL280" i="18"/>
  <c r="F313" i="15"/>
  <c r="F312" i="15"/>
  <c r="F311" i="15"/>
  <c r="D310" i="15"/>
  <c r="AM280" i="18" l="1"/>
  <c r="AL279" i="18"/>
  <c r="D309" i="15"/>
  <c r="F310" i="15"/>
  <c r="AM279" i="18" l="1"/>
  <c r="AL278" i="18"/>
  <c r="D308" i="15"/>
  <c r="F309" i="15"/>
  <c r="AM278" i="18" l="1"/>
  <c r="AL277"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6" i="18" l="1"/>
  <c r="AM277"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6" i="18" l="1"/>
  <c r="AL275" i="18"/>
  <c r="P120" i="52"/>
  <c r="P121" i="52"/>
  <c r="D305" i="15"/>
  <c r="F306" i="15"/>
  <c r="P112" i="52"/>
  <c r="P113" i="52"/>
  <c r="P118" i="52"/>
  <c r="P122" i="52"/>
  <c r="P119" i="52"/>
  <c r="P114" i="52"/>
  <c r="P115" i="52"/>
  <c r="O110" i="52"/>
  <c r="AM275" i="18" l="1"/>
  <c r="AL274" i="18"/>
  <c r="D304" i="15"/>
  <c r="F305" i="15"/>
  <c r="W229" i="18"/>
  <c r="J108" i="52"/>
  <c r="AM274" i="18" l="1"/>
  <c r="AL273" i="18"/>
  <c r="D303" i="15"/>
  <c r="F304" i="15"/>
  <c r="W228" i="18"/>
  <c r="W227" i="18"/>
  <c r="AM273" i="18" l="1"/>
  <c r="AL272" i="18"/>
  <c r="F303" i="15"/>
  <c r="D302" i="15"/>
  <c r="O106" i="52"/>
  <c r="J106" i="52"/>
  <c r="D301" i="15" l="1"/>
  <c r="F302" i="15"/>
  <c r="J104" i="52"/>
  <c r="G119" i="18"/>
  <c r="J119" i="18" s="1"/>
  <c r="J123" i="18" s="1"/>
  <c r="E276" i="15"/>
  <c r="E277" i="15"/>
  <c r="E278" i="15"/>
  <c r="E279" i="15"/>
  <c r="E280" i="15"/>
  <c r="D300" i="15" l="1"/>
  <c r="F301" i="15"/>
  <c r="W22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2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1" i="18"/>
  <c r="AM272" i="18"/>
  <c r="D296" i="15"/>
  <c r="F297" i="15"/>
  <c r="AM271" i="18" l="1"/>
  <c r="AL270" i="18"/>
  <c r="D295" i="15"/>
  <c r="F296" i="15"/>
  <c r="AL269" i="18" l="1"/>
  <c r="AM270"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9" i="18"/>
  <c r="AL268" i="18"/>
  <c r="D293" i="15"/>
  <c r="F294" i="15"/>
  <c r="P111" i="52"/>
  <c r="P110" i="52"/>
  <c r="P106" i="52"/>
  <c r="P104" i="52"/>
  <c r="P107" i="52"/>
  <c r="P105" i="52"/>
  <c r="P99" i="52"/>
  <c r="P109" i="52"/>
  <c r="P103" i="52"/>
  <c r="P102" i="52"/>
  <c r="P101" i="52"/>
  <c r="P100" i="52"/>
  <c r="AL267" i="18" l="1"/>
  <c r="AM268" i="18"/>
  <c r="D292" i="15"/>
  <c r="F293" i="15"/>
  <c r="R294" i="18"/>
  <c r="J90" i="52"/>
  <c r="J95" i="52"/>
  <c r="W224" i="18"/>
  <c r="AJ191" i="18"/>
  <c r="AM267" i="18" l="1"/>
  <c r="AL266" i="18"/>
  <c r="D291" i="15"/>
  <c r="F292" i="15"/>
  <c r="F51" i="14"/>
  <c r="F52" i="14"/>
  <c r="F53" i="14"/>
  <c r="F54" i="14"/>
  <c r="F55" i="14"/>
  <c r="F56" i="14"/>
  <c r="F57" i="14"/>
  <c r="F58" i="14"/>
  <c r="F59" i="14"/>
  <c r="F60" i="14"/>
  <c r="F61" i="14"/>
  <c r="AL265" i="18" l="1"/>
  <c r="AM266" i="18"/>
  <c r="F291" i="15"/>
  <c r="D290" i="15"/>
  <c r="N92" i="52"/>
  <c r="O92" i="52"/>
  <c r="N93" i="52"/>
  <c r="O93" i="52"/>
  <c r="N94" i="52"/>
  <c r="O94" i="52"/>
  <c r="N95" i="52"/>
  <c r="O95" i="52"/>
  <c r="N96" i="52"/>
  <c r="O96" i="52"/>
  <c r="N97" i="52"/>
  <c r="O97" i="52"/>
  <c r="J92" i="52"/>
  <c r="J93" i="52"/>
  <c r="J94" i="52"/>
  <c r="J96" i="52"/>
  <c r="O135" i="18"/>
  <c r="O134" i="18"/>
  <c r="O133" i="18"/>
  <c r="AM265" i="18" l="1"/>
  <c r="AL264" i="18"/>
  <c r="D289" i="15"/>
  <c r="F290" i="15"/>
  <c r="P97" i="52"/>
  <c r="P98" i="52"/>
  <c r="P95" i="52"/>
  <c r="P96" i="52"/>
  <c r="P94" i="52"/>
  <c r="P93" i="52"/>
  <c r="O137" i="18"/>
  <c r="N91" i="52"/>
  <c r="P92" i="52" s="1"/>
  <c r="AL263" i="18" l="1"/>
  <c r="AM264" i="18"/>
  <c r="F289" i="15"/>
  <c r="D288" i="15"/>
  <c r="R234" i="18"/>
  <c r="T279" i="18" s="1"/>
  <c r="W223" i="18"/>
  <c r="W222" i="18"/>
  <c r="W221" i="18"/>
  <c r="M48" i="52"/>
  <c r="M47" i="52"/>
  <c r="N38" i="52"/>
  <c r="N37" i="52"/>
  <c r="M49" i="52"/>
  <c r="N50" i="52" s="1"/>
  <c r="AM263" i="18" l="1"/>
  <c r="AL262" i="18"/>
  <c r="D287" i="15"/>
  <c r="F288" i="15"/>
  <c r="N49" i="52"/>
  <c r="W220" i="18"/>
  <c r="AM262" i="18" l="1"/>
  <c r="AL261" i="18"/>
  <c r="F287" i="15"/>
  <c r="D286" i="15"/>
  <c r="I123" i="18" l="1"/>
  <c r="AL260" i="18"/>
  <c r="AM261" i="18"/>
  <c r="D285" i="15"/>
  <c r="F286" i="15"/>
  <c r="W219" i="18"/>
  <c r="AM260" i="18" l="1"/>
  <c r="AL259" i="18"/>
  <c r="D284" i="15"/>
  <c r="F285" i="15"/>
  <c r="O90" i="52"/>
  <c r="O91" i="52"/>
  <c r="J91" i="52"/>
  <c r="AL258" i="18" l="1"/>
  <c r="AM259" i="18"/>
  <c r="D283" i="15"/>
  <c r="F284" i="15"/>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258" i="18" l="1"/>
  <c r="AL257" i="18"/>
  <c r="F283" i="15"/>
  <c r="D282" i="15"/>
  <c r="G32" i="57"/>
  <c r="H32" i="57"/>
  <c r="D32" i="57"/>
  <c r="I32" i="57" s="1"/>
  <c r="D345" i="20"/>
  <c r="W217" i="18"/>
  <c r="W216" i="18"/>
  <c r="AL256" i="18" l="1"/>
  <c r="AM257" i="18"/>
  <c r="D281" i="15"/>
  <c r="F282" i="15"/>
  <c r="W152" i="18"/>
  <c r="W15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6" i="18" l="1"/>
  <c r="AL255" i="18"/>
  <c r="F281" i="15"/>
  <c r="D280" i="15"/>
  <c r="C46" i="56"/>
  <c r="B46" i="56"/>
  <c r="AL254" i="18" l="1"/>
  <c r="AM254" i="18" s="1"/>
  <c r="AM255" i="18"/>
  <c r="D279" i="15"/>
  <c r="F280" i="15"/>
  <c r="O84" i="52"/>
  <c r="W215" i="18"/>
  <c r="D343" i="20"/>
  <c r="F279" i="15" l="1"/>
  <c r="D278" i="15"/>
  <c r="W214" i="18"/>
  <c r="D342" i="20"/>
  <c r="J83" i="52"/>
  <c r="O83" i="52"/>
  <c r="W213" i="18"/>
  <c r="W212" i="18"/>
  <c r="F44" i="14"/>
  <c r="F45" i="14"/>
  <c r="F46" i="14"/>
  <c r="F47" i="14"/>
  <c r="F48" i="14"/>
  <c r="F49" i="14"/>
  <c r="F50" i="14"/>
  <c r="D341" i="20"/>
  <c r="F278" i="15" l="1"/>
  <c r="D277" i="15"/>
  <c r="AJ318" i="18"/>
  <c r="D276" i="15" l="1"/>
  <c r="F276" i="15" s="1"/>
  <c r="F277" i="15"/>
  <c r="W211" i="18"/>
  <c r="D340" i="20" l="1"/>
  <c r="W210" i="18"/>
  <c r="H337" i="20"/>
  <c r="H338" i="20"/>
  <c r="H339" i="20"/>
  <c r="H340" i="20"/>
  <c r="H341" i="20"/>
  <c r="H368" i="20"/>
  <c r="H369" i="20"/>
  <c r="D339" i="20"/>
  <c r="B371" i="20" l="1"/>
  <c r="D332" i="20"/>
  <c r="D333" i="20"/>
  <c r="D334" i="20"/>
  <c r="D335" i="20"/>
  <c r="D336" i="20"/>
  <c r="D337" i="20"/>
  <c r="D338" i="20"/>
  <c r="D369" i="20"/>
  <c r="W209" i="18" l="1"/>
  <c r="D80" i="57"/>
  <c r="AD46" i="52" l="1"/>
  <c r="AE46" i="52"/>
  <c r="G46" i="10"/>
  <c r="D331" i="20" l="1"/>
  <c r="D330" i="20" l="1"/>
  <c r="W208" i="18" l="1"/>
  <c r="W20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6" i="18" l="1"/>
  <c r="W205" i="18"/>
  <c r="Z40" i="52" l="1"/>
  <c r="Z39" i="52"/>
  <c r="Z38" i="52"/>
  <c r="AD38" i="52"/>
  <c r="AD39" i="52"/>
  <c r="AD40" i="52"/>
  <c r="AE40" i="52"/>
  <c r="AE39" i="52"/>
  <c r="AE38" i="52"/>
  <c r="R16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4" i="18"/>
  <c r="W203" i="18"/>
  <c r="L35" i="18"/>
  <c r="N36" i="52"/>
  <c r="N35" i="52"/>
  <c r="Q42" i="52"/>
  <c r="AD37" i="52"/>
  <c r="AD36" i="52"/>
  <c r="AD35" i="52"/>
  <c r="AD34" i="52"/>
  <c r="AD33" i="52"/>
  <c r="Z37" i="52"/>
  <c r="Z36" i="52"/>
  <c r="Z35" i="52"/>
  <c r="Z34" i="52"/>
  <c r="Z33" i="52"/>
  <c r="AE37" i="52"/>
  <c r="AE36" i="52"/>
  <c r="AE35" i="52"/>
  <c r="AE34" i="52"/>
  <c r="AE33" i="52"/>
  <c r="W202" i="18" l="1"/>
  <c r="W20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0" i="18" l="1"/>
  <c r="W199" i="18"/>
  <c r="AD31" i="52"/>
  <c r="AD30" i="52"/>
  <c r="Z31" i="52"/>
  <c r="Z30" i="52"/>
  <c r="AE31" i="52"/>
  <c r="AE30" i="52"/>
  <c r="AD29" i="52"/>
  <c r="Z29" i="52"/>
  <c r="AE29" i="52"/>
  <c r="AD28" i="52"/>
  <c r="Z28" i="52"/>
  <c r="AE28" i="52"/>
  <c r="N32" i="52"/>
  <c r="N31" i="52"/>
  <c r="W198" i="18" l="1"/>
  <c r="W197" i="18"/>
  <c r="N30" i="52"/>
  <c r="N29" i="52"/>
  <c r="AD27" i="52"/>
  <c r="Z27" i="52"/>
  <c r="AE27" i="52"/>
  <c r="W196" i="18" l="1"/>
  <c r="W195" i="18"/>
  <c r="N28" i="52"/>
  <c r="N27" i="52"/>
  <c r="AD26" i="52" l="1"/>
  <c r="AE26" i="52"/>
  <c r="AL253" i="18" l="1"/>
  <c r="D313" i="20"/>
  <c r="AL252" i="18" l="1"/>
  <c r="AM253" i="18"/>
  <c r="L110" i="18"/>
  <c r="L107" i="18" s="1"/>
  <c r="N107" i="18" s="1"/>
  <c r="L106" i="18" l="1"/>
  <c r="M110" i="18"/>
  <c r="AM252" i="18"/>
  <c r="AL251" i="18"/>
  <c r="L102" i="18"/>
  <c r="W194" i="18"/>
  <c r="W193" i="18"/>
  <c r="N24" i="52"/>
  <c r="N26" i="52"/>
  <c r="N25" i="52"/>
  <c r="AL250" i="18" l="1"/>
  <c r="AM251"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0" i="18"/>
  <c r="AL249" i="18"/>
  <c r="I370" i="20"/>
  <c r="J370" i="20"/>
  <c r="W192" i="18"/>
  <c r="W191" i="18"/>
  <c r="N23" i="52"/>
  <c r="N22" i="52"/>
  <c r="Z24" i="52"/>
  <c r="AD24" i="52"/>
  <c r="AE24" i="52"/>
  <c r="I368" i="20" l="1"/>
  <c r="G367" i="20"/>
  <c r="J368" i="20"/>
  <c r="K368" i="20"/>
  <c r="AL248" i="18"/>
  <c r="AM249" i="18"/>
  <c r="W190" i="18"/>
  <c r="W189" i="18"/>
  <c r="N21" i="52"/>
  <c r="N20" i="52"/>
  <c r="G366" i="20" l="1"/>
  <c r="I367" i="20"/>
  <c r="K367" i="20"/>
  <c r="J367" i="20"/>
  <c r="AL247" i="18"/>
  <c r="AM248" i="18"/>
  <c r="D309" i="20"/>
  <c r="J366" i="20" l="1"/>
  <c r="K366" i="20"/>
  <c r="I366" i="20"/>
  <c r="G365" i="20"/>
  <c r="AL246" i="18"/>
  <c r="AM247" i="18"/>
  <c r="D308" i="20"/>
  <c r="G364" i="20" l="1"/>
  <c r="I365" i="20"/>
  <c r="J365" i="20"/>
  <c r="K365" i="20"/>
  <c r="AL245" i="18"/>
  <c r="AM246" i="18"/>
  <c r="D307" i="20"/>
  <c r="I364" i="20" l="1"/>
  <c r="J364" i="20"/>
  <c r="K364" i="20"/>
  <c r="G363" i="20"/>
  <c r="AL244" i="18"/>
  <c r="AM245" i="18"/>
  <c r="AD23" i="52"/>
  <c r="Z23" i="52"/>
  <c r="AE23" i="52"/>
  <c r="Z22" i="52"/>
  <c r="AD22" i="52"/>
  <c r="AE22" i="52"/>
  <c r="AL177" i="18" l="1"/>
  <c r="G362" i="20"/>
  <c r="I363" i="20"/>
  <c r="J363" i="20"/>
  <c r="K363" i="20"/>
  <c r="AL243" i="18"/>
  <c r="AM244" i="18"/>
  <c r="W188" i="18"/>
  <c r="W187" i="18"/>
  <c r="AL176" i="18" l="1"/>
  <c r="AM177" i="18"/>
  <c r="K362" i="20"/>
  <c r="G361" i="20"/>
  <c r="I362" i="20"/>
  <c r="J362" i="20"/>
  <c r="AL242" i="18"/>
  <c r="AM243" i="18"/>
  <c r="AD21" i="52"/>
  <c r="AC21" i="52"/>
  <c r="AE21" i="52"/>
  <c r="AD20" i="52"/>
  <c r="AC20" i="52"/>
  <c r="AE20" i="52"/>
  <c r="AL175" i="18" l="1"/>
  <c r="AM176" i="18"/>
  <c r="I361" i="20"/>
  <c r="G360" i="20"/>
  <c r="J361" i="20"/>
  <c r="K361" i="20"/>
  <c r="AL241" i="18"/>
  <c r="AM242" i="18"/>
  <c r="G105" i="18"/>
  <c r="F105" i="18" s="1"/>
  <c r="G102" i="18"/>
  <c r="F102" i="18" s="1"/>
  <c r="N25" i="18"/>
  <c r="AL174" i="18" l="1"/>
  <c r="AM175" i="18"/>
  <c r="I360" i="20"/>
  <c r="K360" i="20"/>
  <c r="G359" i="20"/>
  <c r="J360" i="20"/>
  <c r="AL240" i="18"/>
  <c r="AM241" i="18"/>
  <c r="D306" i="20"/>
  <c r="AL173" i="18" l="1"/>
  <c r="AM174" i="18"/>
  <c r="G358" i="20"/>
  <c r="J359" i="20"/>
  <c r="K359" i="20"/>
  <c r="I359" i="20"/>
  <c r="AL239" i="18"/>
  <c r="AM240" i="18"/>
  <c r="D305" i="20"/>
  <c r="AL172" i="18" l="1"/>
  <c r="AM173" i="18"/>
  <c r="K358" i="20"/>
  <c r="I358" i="20"/>
  <c r="G357" i="20"/>
  <c r="J358" i="20"/>
  <c r="AL238" i="18"/>
  <c r="AM239" i="18"/>
  <c r="AD19" i="52"/>
  <c r="AD18" i="52"/>
  <c r="Z19" i="52"/>
  <c r="Z18" i="52"/>
  <c r="AE19" i="52"/>
  <c r="AE18" i="52"/>
  <c r="AL171" i="18" l="1"/>
  <c r="AM172" i="18"/>
  <c r="I357" i="20"/>
  <c r="J357" i="20"/>
  <c r="G356" i="20"/>
  <c r="K357" i="20"/>
  <c r="AM238" i="18"/>
  <c r="AL237" i="18"/>
  <c r="D304" i="20"/>
  <c r="W186" i="18"/>
  <c r="W185"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0" i="18"/>
  <c r="AL163" i="18" l="1"/>
  <c r="AM164" i="18"/>
  <c r="I350" i="20"/>
  <c r="J350" i="20"/>
  <c r="K350" i="20"/>
  <c r="G349" i="20"/>
  <c r="AD14" i="52"/>
  <c r="AE14" i="52"/>
  <c r="AD13" i="52"/>
  <c r="AE13" i="52"/>
  <c r="Z14" i="52"/>
  <c r="D296" i="20"/>
  <c r="D295" i="20"/>
  <c r="AM163" i="18" l="1"/>
  <c r="AL162" i="18"/>
  <c r="K349" i="20"/>
  <c r="I349" i="20"/>
  <c r="J349" i="20"/>
  <c r="G348" i="20"/>
  <c r="W179" i="18"/>
  <c r="W178" i="18"/>
  <c r="L11" i="52"/>
  <c r="L10" i="52"/>
  <c r="AL236" i="18"/>
  <c r="AL235" i="18" s="1"/>
  <c r="AL234"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7" i="18"/>
  <c r="AM236" i="18"/>
  <c r="AM235"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N43" i="18"/>
  <c r="D291" i="20"/>
  <c r="M106" i="18" l="1"/>
  <c r="AL156" i="18"/>
  <c r="AM157" i="18"/>
  <c r="G342" i="20"/>
  <c r="J343" i="20"/>
  <c r="I343" i="20"/>
  <c r="K343" i="20"/>
  <c r="D290" i="20"/>
  <c r="AL155" i="18" l="1"/>
  <c r="AM156" i="18"/>
  <c r="I342" i="20"/>
  <c r="K342" i="20"/>
  <c r="J342" i="20"/>
  <c r="G341" i="20"/>
  <c r="D289" i="20"/>
  <c r="AL154" i="18" l="1"/>
  <c r="AM155" i="18"/>
  <c r="K341" i="20"/>
  <c r="G340" i="20"/>
  <c r="I341" i="20"/>
  <c r="J341" i="20"/>
  <c r="AL233" i="18"/>
  <c r="AL232" i="18" s="1"/>
  <c r="D288" i="20"/>
  <c r="AL153" i="18" l="1"/>
  <c r="AM154" i="18"/>
  <c r="I340" i="20"/>
  <c r="K340" i="20"/>
  <c r="G339" i="20"/>
  <c r="J340" i="20"/>
  <c r="AM234" i="18"/>
  <c r="AM233"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4" i="18"/>
  <c r="S144"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9" i="18"/>
  <c r="W172" i="18"/>
  <c r="D278" i="20"/>
  <c r="AL140" i="18" l="1"/>
  <c r="AM141" i="18"/>
  <c r="J327" i="20"/>
  <c r="K327" i="20"/>
  <c r="G326" i="20"/>
  <c r="I327" i="20"/>
  <c r="W150"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49" i="18"/>
  <c r="AM120" i="18" l="1"/>
  <c r="AL119" i="18"/>
  <c r="AM119" i="18" l="1"/>
  <c r="AL118" i="18"/>
  <c r="T147" i="18"/>
  <c r="S58" i="18"/>
  <c r="S59" i="18" s="1"/>
  <c r="S60" i="18" s="1"/>
  <c r="R168" i="18"/>
  <c r="R166" i="18"/>
  <c r="D57" i="51"/>
  <c r="AL117" i="18" l="1"/>
  <c r="AM118" i="18"/>
  <c r="S61" i="18"/>
  <c r="S62" i="18" s="1"/>
  <c r="AM117" i="18" l="1"/>
  <c r="AL116" i="18"/>
  <c r="S63" i="18"/>
  <c r="S64" i="18" s="1"/>
  <c r="N30" i="18"/>
  <c r="Q80"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N45" i="18"/>
  <c r="M105" i="18" s="1"/>
  <c r="S68" i="18" l="1"/>
  <c r="S69" i="18" s="1"/>
  <c r="N105" i="18"/>
  <c r="AM112" i="18"/>
  <c r="AL111" i="18"/>
  <c r="D108" i="50"/>
  <c r="S70" i="18" l="1"/>
  <c r="AL110" i="18"/>
  <c r="AM111" i="18"/>
  <c r="S71" i="18" l="1"/>
  <c r="S72" i="18" s="1"/>
  <c r="AL109" i="18"/>
  <c r="AM110" i="18"/>
  <c r="S73" i="18" l="1"/>
  <c r="S74" i="18" s="1"/>
  <c r="S75" i="18" s="1"/>
  <c r="S76" i="18" s="1"/>
  <c r="S77" i="18" s="1"/>
  <c r="S78" i="18" s="1"/>
  <c r="N104" i="18"/>
  <c r="AL108" i="18"/>
  <c r="AM109" i="18"/>
  <c r="N22" i="33"/>
  <c r="R22" i="33" s="1"/>
  <c r="E22" i="33" l="1"/>
  <c r="AL107" i="18"/>
  <c r="AM108" i="18"/>
  <c r="C22" i="33"/>
  <c r="J22" i="33"/>
  <c r="F22" i="33"/>
  <c r="B22" i="33"/>
  <c r="I22" i="33"/>
  <c r="L22" i="33"/>
  <c r="H22" i="33"/>
  <c r="D22" i="33"/>
  <c r="K22" i="33"/>
  <c r="G22" i="33"/>
  <c r="AM107" i="18" l="1"/>
  <c r="AL106" i="18"/>
  <c r="AL105" i="18" l="1"/>
  <c r="AM106" i="18"/>
  <c r="N106" i="18" l="1"/>
  <c r="AL104" i="18"/>
  <c r="AM105" i="18"/>
  <c r="AL231" i="18"/>
  <c r="AM232" i="18"/>
  <c r="AL103" i="18" l="1"/>
  <c r="AM104" i="18"/>
  <c r="AL230" i="18"/>
  <c r="AM231" i="18"/>
  <c r="AL102" i="18" l="1"/>
  <c r="AM103" i="18"/>
  <c r="AL229" i="18"/>
  <c r="AM230" i="18"/>
  <c r="S22" i="18"/>
  <c r="S23" i="18" s="1"/>
  <c r="N74" i="18"/>
  <c r="AL101" i="18" l="1"/>
  <c r="AM102" i="18"/>
  <c r="AL228" i="18"/>
  <c r="AM229"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8" i="18"/>
  <c r="AL227" i="18"/>
  <c r="D73" i="48"/>
  <c r="N103" i="18" l="1"/>
  <c r="AL99" i="18"/>
  <c r="AM100" i="18"/>
  <c r="AL226" i="18"/>
  <c r="AM227" i="18"/>
  <c r="S32" i="18" l="1"/>
  <c r="AM99" i="18"/>
  <c r="AL98" i="18"/>
  <c r="AL225" i="18"/>
  <c r="AM226" i="18"/>
  <c r="S33" i="18" l="1"/>
  <c r="S34" i="18" s="1"/>
  <c r="AL97" i="18"/>
  <c r="AM98" i="18"/>
  <c r="AL224" i="18"/>
  <c r="AM225" i="18"/>
  <c r="S35" i="18" l="1"/>
  <c r="S36" i="18" s="1"/>
  <c r="AM97" i="18"/>
  <c r="AL96" i="18"/>
  <c r="AL223" i="18"/>
  <c r="AM224" i="18"/>
  <c r="N23" i="33"/>
  <c r="D23" i="33" s="1"/>
  <c r="AM96" i="18" l="1"/>
  <c r="AL95" i="18"/>
  <c r="AL222" i="18"/>
  <c r="AM223"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1" i="18"/>
  <c r="AM222" i="18"/>
  <c r="N21" i="18"/>
  <c r="Q53" i="18" l="1"/>
  <c r="R164" i="18"/>
  <c r="S40" i="18"/>
  <c r="S41" i="18" s="1"/>
  <c r="AJ322" i="18"/>
  <c r="AJ323" i="18" s="1"/>
  <c r="AM94" i="18"/>
  <c r="AL93" i="18"/>
  <c r="AL220" i="18"/>
  <c r="AM221" i="18"/>
  <c r="S42" i="18" l="1"/>
  <c r="AL92" i="18"/>
  <c r="AM93" i="18"/>
  <c r="AL219" i="18"/>
  <c r="AM220" i="18"/>
  <c r="S90" i="18"/>
  <c r="S91" i="18" s="1"/>
  <c r="S43" i="18" l="1"/>
  <c r="AL91" i="18"/>
  <c r="AM92" i="18"/>
  <c r="AM219" i="18"/>
  <c r="AL218" i="18"/>
  <c r="S44" i="18" l="1"/>
  <c r="S45" i="18" s="1"/>
  <c r="S46" i="18" s="1"/>
  <c r="AL90" i="18"/>
  <c r="AM91" i="18"/>
  <c r="AL217" i="18"/>
  <c r="AM218" i="18"/>
  <c r="S48" i="18" l="1"/>
  <c r="S49" i="18" s="1"/>
  <c r="AM90" i="18"/>
  <c r="AL89" i="18"/>
  <c r="AM217" i="18"/>
  <c r="AL216" i="18"/>
  <c r="S50" i="18" l="1"/>
  <c r="S51" i="18" s="1"/>
  <c r="AL88" i="18"/>
  <c r="AM89" i="18"/>
  <c r="AM216" i="18"/>
  <c r="AL215" i="18"/>
  <c r="B8" i="36"/>
  <c r="AM88" i="18" l="1"/>
  <c r="AL87" i="18"/>
  <c r="AL214" i="18"/>
  <c r="AM215" i="18"/>
  <c r="B10" i="36"/>
  <c r="AL86" i="18" l="1"/>
  <c r="AM87" i="18"/>
  <c r="AL213" i="18"/>
  <c r="AM214" i="18"/>
  <c r="S92" i="18"/>
  <c r="S93" i="18" s="1"/>
  <c r="S94" i="18" s="1"/>
  <c r="AL85" i="18" l="1"/>
  <c r="AM86" i="18"/>
  <c r="S95" i="18"/>
  <c r="S96" i="18" s="1"/>
  <c r="AL212" i="18"/>
  <c r="AM213" i="18"/>
  <c r="N25" i="33"/>
  <c r="N24" i="33"/>
  <c r="N21" i="33"/>
  <c r="N20" i="33"/>
  <c r="N19" i="33"/>
  <c r="N18" i="33"/>
  <c r="L18" i="33" s="1"/>
  <c r="N17" i="33"/>
  <c r="N9" i="33"/>
  <c r="N3" i="33"/>
  <c r="N4" i="33"/>
  <c r="AL84" i="18" l="1"/>
  <c r="AM85" i="18"/>
  <c r="AM212" i="18"/>
  <c r="AL211"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1" i="18"/>
  <c r="AL210" i="18"/>
  <c r="AC15" i="33"/>
  <c r="AL82" i="18" l="1"/>
  <c r="AM83" i="18"/>
  <c r="AM210" i="18"/>
  <c r="AL209" i="18"/>
  <c r="N16" i="33"/>
  <c r="AL81" i="18" l="1"/>
  <c r="AM82" i="18"/>
  <c r="AM209" i="18"/>
  <c r="AL208" i="18"/>
  <c r="AM208" i="18" s="1"/>
  <c r="L16" i="33"/>
  <c r="J16" i="33"/>
  <c r="F16" i="33"/>
  <c r="C16" i="33"/>
  <c r="K16" i="33"/>
  <c r="G16" i="33"/>
  <c r="H16" i="33"/>
  <c r="D16" i="33"/>
  <c r="I16" i="33"/>
  <c r="E16" i="33"/>
  <c r="B16" i="33"/>
  <c r="R16" i="33"/>
  <c r="AM318" i="18" l="1"/>
  <c r="AN318" i="18" s="1"/>
  <c r="AJ321"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4" i="18" l="1"/>
  <c r="AJ32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S104" i="18" s="1"/>
  <c r="S105" i="18" s="1"/>
  <c r="S106" i="18" s="1"/>
  <c r="G306" i="20"/>
  <c r="J307" i="20"/>
  <c r="I307" i="20"/>
  <c r="K307" i="20"/>
  <c r="AL75" i="18"/>
  <c r="AM76" i="18"/>
  <c r="N48" i="18"/>
  <c r="R163" i="18" s="1"/>
  <c r="Q139" i="18" l="1"/>
  <c r="R176" i="18"/>
  <c r="M102" i="18"/>
  <c r="N102" i="18" s="1"/>
  <c r="N110" i="18" s="1"/>
  <c r="AJ197" i="18"/>
  <c r="AJ198" i="18" s="1"/>
  <c r="S107" i="18"/>
  <c r="G305" i="20"/>
  <c r="I306" i="20"/>
  <c r="K306" i="20"/>
  <c r="J306" i="20"/>
  <c r="AL74" i="18"/>
  <c r="AM75" i="18"/>
  <c r="U279" i="18" l="1"/>
  <c r="T266" i="18"/>
  <c r="V269" i="18" s="1"/>
  <c r="G304" i="20"/>
  <c r="I305" i="20"/>
  <c r="K305" i="20"/>
  <c r="J305" i="20"/>
  <c r="AL73" i="18"/>
  <c r="AM74" i="18"/>
  <c r="R84" i="18"/>
  <c r="V51" i="18" s="1"/>
  <c r="W51" i="18" l="1"/>
  <c r="X51" i="18"/>
  <c r="V50" i="18"/>
  <c r="W50" i="18" s="1"/>
  <c r="V78" i="18"/>
  <c r="W78" i="18" s="1"/>
  <c r="V49" i="18"/>
  <c r="V48" i="18"/>
  <c r="W48" i="18" s="1"/>
  <c r="V47" i="18"/>
  <c r="W47" i="18" s="1"/>
  <c r="V77" i="18"/>
  <c r="V76" i="18"/>
  <c r="V75" i="18"/>
  <c r="X75" i="18" s="1"/>
  <c r="V46" i="18"/>
  <c r="V74" i="18"/>
  <c r="W74" i="18" s="1"/>
  <c r="V45" i="18"/>
  <c r="V73" i="18"/>
  <c r="V44" i="18"/>
  <c r="W44" i="18" s="1"/>
  <c r="V72" i="18"/>
  <c r="V71" i="18"/>
  <c r="W71" i="18" s="1"/>
  <c r="V43" i="18"/>
  <c r="V42" i="18"/>
  <c r="X42" i="18" s="1"/>
  <c r="V70" i="18"/>
  <c r="S152" i="18"/>
  <c r="V40" i="18"/>
  <c r="W40" i="18" s="1"/>
  <c r="V41" i="18"/>
  <c r="V69" i="18"/>
  <c r="W69" i="18" s="1"/>
  <c r="V39" i="18"/>
  <c r="V88" i="18"/>
  <c r="V68" i="18"/>
  <c r="V67" i="18"/>
  <c r="V66" i="18"/>
  <c r="W66" i="18" s="1"/>
  <c r="V38" i="18"/>
  <c r="V37" i="18"/>
  <c r="V36" i="18"/>
  <c r="S108" i="18"/>
  <c r="V35" i="18"/>
  <c r="V34" i="18"/>
  <c r="W34" i="18" s="1"/>
  <c r="V65" i="18"/>
  <c r="V64" i="18"/>
  <c r="V33" i="18"/>
  <c r="V32" i="18"/>
  <c r="V31" i="18"/>
  <c r="V29" i="18"/>
  <c r="W29" i="18" s="1"/>
  <c r="V30" i="18"/>
  <c r="V52" i="18"/>
  <c r="V28" i="18"/>
  <c r="X28" i="18" s="1"/>
  <c r="G303" i="20"/>
  <c r="K304" i="20"/>
  <c r="I304" i="20"/>
  <c r="J304" i="20"/>
  <c r="V279" i="18"/>
  <c r="V27" i="18"/>
  <c r="W27" i="18" s="1"/>
  <c r="V106" i="18"/>
  <c r="V138" i="18"/>
  <c r="V104" i="18"/>
  <c r="W104" i="18" s="1"/>
  <c r="V105" i="18"/>
  <c r="V26" i="18"/>
  <c r="W26" i="18" s="1"/>
  <c r="V63" i="18"/>
  <c r="V102" i="18"/>
  <c r="W102" i="18" s="1"/>
  <c r="V103" i="18"/>
  <c r="V100" i="18"/>
  <c r="W100" i="18" s="1"/>
  <c r="V101" i="18"/>
  <c r="V99" i="18"/>
  <c r="W99" i="18" s="1"/>
  <c r="V25" i="18"/>
  <c r="V24" i="18"/>
  <c r="W24" i="18" s="1"/>
  <c r="V62" i="18"/>
  <c r="V23" i="18"/>
  <c r="X23" i="18" s="1"/>
  <c r="V61" i="18"/>
  <c r="V79" i="18"/>
  <c r="V60" i="18"/>
  <c r="V98" i="18"/>
  <c r="V59" i="18"/>
  <c r="V97" i="18"/>
  <c r="V22" i="18"/>
  <c r="V96" i="18"/>
  <c r="V21" i="18"/>
  <c r="V95" i="18"/>
  <c r="V94" i="18"/>
  <c r="V93" i="18"/>
  <c r="V91" i="18"/>
  <c r="V92" i="18"/>
  <c r="V20" i="18"/>
  <c r="V89" i="18"/>
  <c r="V90" i="18"/>
  <c r="AL72" i="18"/>
  <c r="AM73" i="18"/>
  <c r="X50" i="18" l="1"/>
  <c r="U152" i="18"/>
  <c r="V152" i="18" s="1"/>
  <c r="X78" i="18"/>
  <c r="W49" i="18"/>
  <c r="X49" i="18"/>
  <c r="X48" i="18"/>
  <c r="X47" i="18"/>
  <c r="W77" i="18"/>
  <c r="X77" i="18"/>
  <c r="W76" i="18"/>
  <c r="X76" i="18"/>
  <c r="W75" i="18"/>
  <c r="X46" i="18"/>
  <c r="W46" i="18"/>
  <c r="X74" i="18"/>
  <c r="X45" i="18"/>
  <c r="W45" i="18"/>
  <c r="W73" i="18"/>
  <c r="X73" i="18"/>
  <c r="X44" i="18"/>
  <c r="X72" i="18"/>
  <c r="W72" i="18"/>
  <c r="X71" i="18"/>
  <c r="X43" i="18"/>
  <c r="W43" i="18"/>
  <c r="W42" i="18"/>
  <c r="W70" i="18"/>
  <c r="X70" i="18"/>
  <c r="X40" i="18"/>
  <c r="W41" i="18"/>
  <c r="X41" i="18"/>
  <c r="X69" i="18"/>
  <c r="W39" i="18"/>
  <c r="X39" i="18"/>
  <c r="W68" i="18"/>
  <c r="X68" i="18"/>
  <c r="W67" i="18"/>
  <c r="X67" i="18"/>
  <c r="X66" i="18"/>
  <c r="W38" i="18"/>
  <c r="X38" i="18"/>
  <c r="W37" i="18"/>
  <c r="X37" i="18"/>
  <c r="X36" i="18"/>
  <c r="W36" i="18"/>
  <c r="V107" i="18"/>
  <c r="X107" i="18" s="1"/>
  <c r="W35" i="18"/>
  <c r="X35" i="18"/>
  <c r="X34" i="18"/>
  <c r="W65" i="18"/>
  <c r="X65" i="18"/>
  <c r="W64" i="18"/>
  <c r="X64" i="18"/>
  <c r="X33" i="18"/>
  <c r="W33" i="18"/>
  <c r="X32" i="18"/>
  <c r="W32" i="18"/>
  <c r="W31" i="18"/>
  <c r="X31" i="18"/>
  <c r="X29" i="18"/>
  <c r="W52" i="18"/>
  <c r="X52" i="18"/>
  <c r="W30" i="18"/>
  <c r="X30" i="18"/>
  <c r="W28" i="18"/>
  <c r="S151" i="18"/>
  <c r="R160" i="18" s="1"/>
  <c r="G302" i="20"/>
  <c r="K303" i="20"/>
  <c r="I303" i="20"/>
  <c r="J303" i="20"/>
  <c r="X27" i="18"/>
  <c r="W138" i="18"/>
  <c r="X138" i="18"/>
  <c r="X106" i="18"/>
  <c r="W106" i="18"/>
  <c r="X104" i="18"/>
  <c r="W105" i="18"/>
  <c r="X105" i="18"/>
  <c r="X26" i="18"/>
  <c r="W63" i="18"/>
  <c r="X63" i="18"/>
  <c r="X102" i="18"/>
  <c r="W103" i="18"/>
  <c r="X103" i="18"/>
  <c r="X100" i="18"/>
  <c r="W101" i="18"/>
  <c r="X101" i="18"/>
  <c r="X99" i="18"/>
  <c r="W25" i="18"/>
  <c r="X25" i="18"/>
  <c r="X24" i="18"/>
  <c r="W62" i="18"/>
  <c r="X62" i="18"/>
  <c r="W23" i="18"/>
  <c r="W61" i="18"/>
  <c r="X61" i="18"/>
  <c r="W60" i="18"/>
  <c r="X60" i="18"/>
  <c r="W79" i="18"/>
  <c r="X79" i="18"/>
  <c r="S150" i="18"/>
  <c r="S149" i="18"/>
  <c r="R159" i="18" s="1"/>
  <c r="W98" i="18"/>
  <c r="X98" i="18"/>
  <c r="X59" i="18"/>
  <c r="W59" i="18"/>
  <c r="W96" i="18"/>
  <c r="X96" i="18"/>
  <c r="W90" i="18"/>
  <c r="X90" i="18"/>
  <c r="W94" i="18"/>
  <c r="X94" i="18"/>
  <c r="W22" i="18"/>
  <c r="X22" i="18"/>
  <c r="W20" i="18"/>
  <c r="X20" i="18"/>
  <c r="W92" i="18"/>
  <c r="X92" i="18"/>
  <c r="X97" i="18"/>
  <c r="W97" i="18"/>
  <c r="W89" i="18"/>
  <c r="X89" i="18"/>
  <c r="W88" i="18"/>
  <c r="X88" i="18"/>
  <c r="W93" i="18"/>
  <c r="X93" i="18"/>
  <c r="W91" i="18"/>
  <c r="X91" i="18"/>
  <c r="W95" i="18"/>
  <c r="X95" i="18"/>
  <c r="W21" i="18"/>
  <c r="X21" i="18"/>
  <c r="AL71" i="18"/>
  <c r="AM72" i="18"/>
  <c r="U149" i="18" l="1"/>
  <c r="W107" i="18"/>
  <c r="U151" i="18"/>
  <c r="V151" i="18" s="1"/>
  <c r="N33" i="18"/>
  <c r="L21" i="18" s="1"/>
  <c r="U150" i="18"/>
  <c r="V150"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8" i="18" l="1"/>
  <c r="S109" i="18"/>
  <c r="G298" i="20"/>
  <c r="K299" i="20"/>
  <c r="I299" i="20"/>
  <c r="J299" i="20"/>
  <c r="AL67" i="18"/>
  <c r="AM68" i="18"/>
  <c r="I2" i="33"/>
  <c r="E2" i="33"/>
  <c r="J2" i="33"/>
  <c r="F2" i="33"/>
  <c r="K2" i="33"/>
  <c r="G2" i="33"/>
  <c r="D2" i="33"/>
  <c r="C2" i="33"/>
  <c r="H2" i="33"/>
  <c r="D73" i="45"/>
  <c r="V109" i="18" l="1"/>
  <c r="S110" i="18"/>
  <c r="S111" i="18" s="1"/>
  <c r="S112" i="18" s="1"/>
  <c r="W108" i="18"/>
  <c r="X108" i="18"/>
  <c r="G297" i="20"/>
  <c r="K298" i="20"/>
  <c r="I298" i="20"/>
  <c r="J298" i="20"/>
  <c r="AL66" i="18"/>
  <c r="AM67" i="18"/>
  <c r="F33" i="14"/>
  <c r="F34" i="14"/>
  <c r="F35" i="14"/>
  <c r="F36" i="14"/>
  <c r="F37" i="14"/>
  <c r="F38" i="14"/>
  <c r="F39" i="14"/>
  <c r="F40" i="14"/>
  <c r="F41" i="14"/>
  <c r="F42" i="14"/>
  <c r="F43" i="14"/>
  <c r="E62" i="14"/>
  <c r="E61" i="14" s="1"/>
  <c r="B63" i="14"/>
  <c r="V110" i="18" l="1"/>
  <c r="X109" i="18"/>
  <c r="W109" i="18"/>
  <c r="G61" i="14"/>
  <c r="E60" i="14"/>
  <c r="I297" i="20"/>
  <c r="K297" i="20"/>
  <c r="J297" i="20"/>
  <c r="G296" i="20"/>
  <c r="AL65" i="18"/>
  <c r="AM66" i="18"/>
  <c r="W110" i="18" l="1"/>
  <c r="X110"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1" i="18"/>
  <c r="W111" i="18" s="1"/>
  <c r="J266" i="20"/>
  <c r="G265" i="20"/>
  <c r="K266" i="20"/>
  <c r="I266" i="20"/>
  <c r="AL34" i="18"/>
  <c r="AM35" i="18"/>
  <c r="E240" i="15"/>
  <c r="E239" i="15"/>
  <c r="X111" i="18" l="1"/>
  <c r="G29" i="14"/>
  <c r="E28" i="14"/>
  <c r="K265" i="20"/>
  <c r="G264" i="20"/>
  <c r="J265" i="20"/>
  <c r="I265" i="20"/>
  <c r="D259" i="15"/>
  <c r="AL33" i="18"/>
  <c r="AM34" i="18"/>
  <c r="E27" i="14" l="1"/>
  <c r="G28" i="14"/>
  <c r="G263" i="20"/>
  <c r="K264" i="20"/>
  <c r="J264" i="20"/>
  <c r="I264" i="20"/>
  <c r="D258" i="15"/>
  <c r="F259" i="15"/>
  <c r="AL32" i="18"/>
  <c r="AM33" i="18"/>
  <c r="S113" i="18" l="1"/>
  <c r="S114" i="18" s="1"/>
  <c r="S115" i="18" s="1"/>
  <c r="S116" i="18" s="1"/>
  <c r="S117" i="18" s="1"/>
  <c r="E26" i="14"/>
  <c r="G27" i="14"/>
  <c r="I263" i="20"/>
  <c r="K263" i="20"/>
  <c r="G262" i="20"/>
  <c r="J263" i="20"/>
  <c r="D257" i="15"/>
  <c r="F258" i="15"/>
  <c r="AL31" i="18"/>
  <c r="AM32" i="18"/>
  <c r="K61" i="32"/>
  <c r="U61" i="32" s="1"/>
  <c r="K60" i="32"/>
  <c r="U60" i="32" s="1"/>
  <c r="K49" i="32"/>
  <c r="U49" i="32" s="1"/>
  <c r="K48" i="32"/>
  <c r="U48" i="32" s="1"/>
  <c r="K46" i="32"/>
  <c r="I60" i="32"/>
  <c r="I48" i="32"/>
  <c r="S70" i="32"/>
  <c r="V116" i="18" l="1"/>
  <c r="W116" i="18" s="1"/>
  <c r="V112" i="18"/>
  <c r="X112" i="18" s="1"/>
  <c r="E25" i="14"/>
  <c r="G26" i="14"/>
  <c r="G261" i="20"/>
  <c r="I262" i="20"/>
  <c r="J262" i="20"/>
  <c r="K262" i="20"/>
  <c r="D256" i="15"/>
  <c r="F257" i="15"/>
  <c r="AL30" i="18"/>
  <c r="AM31" i="18"/>
  <c r="L60" i="32"/>
  <c r="L48" i="32"/>
  <c r="X116" i="18" l="1"/>
  <c r="S118" i="18"/>
  <c r="W112" i="18"/>
  <c r="E24" i="14"/>
  <c r="G25" i="14"/>
  <c r="J261" i="20"/>
  <c r="I261" i="20"/>
  <c r="K261" i="20"/>
  <c r="G260" i="20"/>
  <c r="D255" i="15"/>
  <c r="F256" i="15"/>
  <c r="AL29" i="18"/>
  <c r="AM30" i="18"/>
  <c r="V117" i="18" l="1"/>
  <c r="X117"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17"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18" i="18" l="1"/>
  <c r="W118" i="18" s="1"/>
  <c r="S119" i="18"/>
  <c r="V113" i="18"/>
  <c r="W113"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19" i="18" l="1"/>
  <c r="W119" i="18" s="1"/>
  <c r="S120" i="18"/>
  <c r="X118" i="18"/>
  <c r="X113"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0" i="18" l="1"/>
  <c r="W120" i="18" s="1"/>
  <c r="S121" i="18"/>
  <c r="X119" i="18"/>
  <c r="G255" i="20"/>
  <c r="I256" i="20"/>
  <c r="J256" i="20"/>
  <c r="K256" i="20"/>
  <c r="D250" i="15"/>
  <c r="F251" i="15"/>
  <c r="AL24" i="18"/>
  <c r="AM25" i="18"/>
  <c r="E178" i="13"/>
  <c r="G179" i="13"/>
  <c r="X120" i="18" l="1"/>
  <c r="V121" i="18"/>
  <c r="W121" i="18" s="1"/>
  <c r="S122" i="18"/>
  <c r="S123" i="18" s="1"/>
  <c r="V114" i="18"/>
  <c r="X114" i="18" s="1"/>
  <c r="G254" i="20"/>
  <c r="J255" i="20"/>
  <c r="I255" i="20"/>
  <c r="K255" i="20"/>
  <c r="D249" i="15"/>
  <c r="F250" i="15"/>
  <c r="AM24" i="18"/>
  <c r="AL23" i="18"/>
  <c r="E177" i="13"/>
  <c r="G178" i="13"/>
  <c r="V122" i="18" l="1"/>
  <c r="X122" i="18" s="1"/>
  <c r="X121" i="18"/>
  <c r="W114" i="18"/>
  <c r="K254" i="20"/>
  <c r="I254" i="20"/>
  <c r="G253" i="20"/>
  <c r="J254" i="20"/>
  <c r="F249" i="15"/>
  <c r="D248" i="15"/>
  <c r="AM23" i="18"/>
  <c r="AL22" i="18"/>
  <c r="E176" i="13"/>
  <c r="G177" i="13"/>
  <c r="D165" i="20"/>
  <c r="W122" i="18" l="1"/>
  <c r="G252" i="20"/>
  <c r="J253" i="20"/>
  <c r="K253" i="20"/>
  <c r="I253" i="20"/>
  <c r="D247" i="15"/>
  <c r="F248" i="15"/>
  <c r="AL21" i="18"/>
  <c r="AL20" i="18" s="1"/>
  <c r="AM22" i="18"/>
  <c r="E175" i="13"/>
  <c r="G176" i="13"/>
  <c r="D164" i="20"/>
  <c r="V123" i="18" l="1"/>
  <c r="W123" i="18" s="1"/>
  <c r="S12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23" i="18"/>
  <c r="V124" i="18"/>
  <c r="W124" i="18" s="1"/>
  <c r="S125"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1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1" i="18"/>
  <c r="G250" i="20"/>
  <c r="I251" i="20"/>
  <c r="J251" i="20"/>
  <c r="K251" i="20"/>
  <c r="F246" i="15"/>
  <c r="D245" i="15"/>
  <c r="E173" i="13"/>
  <c r="G174" i="13"/>
  <c r="V125" i="18" l="1"/>
  <c r="W125" i="18" s="1"/>
  <c r="S126" i="18"/>
  <c r="S127" i="18" s="1"/>
  <c r="S128" i="18" s="1"/>
  <c r="X124" i="18"/>
  <c r="X115" i="18"/>
  <c r="W115" i="18"/>
  <c r="U2123" i="41"/>
  <c r="V2123" i="41" s="1"/>
  <c r="X2123" i="41" s="1"/>
  <c r="G249" i="20"/>
  <c r="J250" i="20"/>
  <c r="K250" i="20"/>
  <c r="I250" i="20"/>
  <c r="F245" i="15"/>
  <c r="D244" i="15"/>
  <c r="AN191" i="18"/>
  <c r="AJ196" i="18" s="1"/>
  <c r="E172" i="13"/>
  <c r="G173" i="13"/>
  <c r="D62" i="38"/>
  <c r="V126" i="18" l="1"/>
  <c r="X126" i="18" s="1"/>
  <c r="X125" i="18"/>
  <c r="AJ200" i="18"/>
  <c r="J249" i="20"/>
  <c r="I249" i="20"/>
  <c r="K249" i="20"/>
  <c r="G248" i="20"/>
  <c r="F244" i="15"/>
  <c r="D243" i="15"/>
  <c r="AJ199" i="18"/>
  <c r="E171" i="13"/>
  <c r="G172" i="13"/>
  <c r="W12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27" i="18" l="1"/>
  <c r="W127"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27"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29" i="18" l="1"/>
  <c r="G235" i="20"/>
  <c r="J236" i="20"/>
  <c r="I236" i="20"/>
  <c r="K236" i="20"/>
  <c r="F231" i="15"/>
  <c r="D230" i="15"/>
  <c r="E158" i="13"/>
  <c r="G159" i="13"/>
  <c r="D154" i="20"/>
  <c r="D153" i="20"/>
  <c r="V128" i="18" l="1"/>
  <c r="X128"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28" i="18" l="1"/>
  <c r="I234" i="20"/>
  <c r="K234" i="20"/>
  <c r="J234" i="20"/>
  <c r="G233" i="20"/>
  <c r="F229" i="15"/>
  <c r="D228" i="15"/>
  <c r="E156" i="13"/>
  <c r="G157" i="13"/>
  <c r="V129" i="18" l="1"/>
  <c r="X129" i="18" s="1"/>
  <c r="S130"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0" i="18" l="1"/>
  <c r="W130" i="18" s="1"/>
  <c r="S131" i="18"/>
  <c r="W129" i="18"/>
  <c r="G231" i="20"/>
  <c r="I232" i="20"/>
  <c r="J232" i="20"/>
  <c r="K232" i="20"/>
  <c r="F227" i="15"/>
  <c r="D226" i="15"/>
  <c r="E154" i="13"/>
  <c r="G155" i="13"/>
  <c r="I46" i="32"/>
  <c r="V131" i="18" l="1"/>
  <c r="W131" i="18" s="1"/>
  <c r="S132" i="18"/>
  <c r="X130"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31" i="18" l="1"/>
  <c r="V132" i="18"/>
  <c r="W132" i="18" s="1"/>
  <c r="S133"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33" i="18" l="1"/>
  <c r="W133" i="18" s="1"/>
  <c r="S134" i="18"/>
  <c r="X132" i="18"/>
  <c r="G228" i="20"/>
  <c r="J229" i="20"/>
  <c r="K229" i="20"/>
  <c r="I229" i="20"/>
  <c r="E151" i="13"/>
  <c r="G152" i="13"/>
  <c r="X133" i="18" l="1"/>
  <c r="V134" i="18"/>
  <c r="W134" i="18" s="1"/>
  <c r="S135" i="18"/>
  <c r="S136" i="18" s="1"/>
  <c r="S137" i="18" s="1"/>
  <c r="V137" i="18" s="1"/>
  <c r="K228" i="20"/>
  <c r="G227" i="20"/>
  <c r="I228" i="20"/>
  <c r="J228" i="20"/>
  <c r="E150" i="13"/>
  <c r="G151" i="13"/>
  <c r="W137" i="18" l="1"/>
  <c r="X137" i="18"/>
  <c r="V135" i="18"/>
  <c r="W135" i="18" s="1"/>
  <c r="X134" i="18"/>
  <c r="J227" i="20"/>
  <c r="G226" i="20"/>
  <c r="I227" i="20"/>
  <c r="K227" i="20"/>
  <c r="E149" i="13"/>
  <c r="G150" i="13"/>
  <c r="Z32" i="32"/>
  <c r="M45" i="32"/>
  <c r="R45" i="32" s="1"/>
  <c r="X135" i="18" l="1"/>
  <c r="S45" i="32"/>
  <c r="V136" i="18"/>
  <c r="Q45" i="32"/>
  <c r="I226" i="20"/>
  <c r="K226" i="20"/>
  <c r="J226" i="20"/>
  <c r="G225" i="20"/>
  <c r="E148" i="13"/>
  <c r="G149" i="13"/>
  <c r="W136" i="18" l="1"/>
  <c r="X136" i="18"/>
  <c r="J225" i="20"/>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<sst xmlns="http://schemas.openxmlformats.org/spreadsheetml/2006/main" count="12261" uniqueCount="5218">
  <si>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</si>
  <si>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</si>
  <si>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</si>
  <si>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</si>
  <si>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</si>
  <si>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</si>
  <si>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</si>
  <si>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</si>
  <si>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</si>
  <si>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</si>
  <si>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</si>
  <si>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</si>
  <si>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</si>
  <si>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</si>
  <si>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</si>
  <si>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</si>
  <si>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</si>
  <si>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</si>
  <si>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</si>
  <si>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</si>
  <si>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</si>
  <si>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</si>
  <si>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</si>
  <si>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</si>
  <si>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</si>
  <si>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</si>
  <si>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</si>
  <si>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</si>
  <si>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</si>
  <si>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</si>
  <si>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</si>
  <si>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</si>
  <si>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</si>
  <si>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</si>
  <si>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</si>
  <si>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</si>
  <si>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</si>
  <si>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</si>
  <si>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</si>
  <si>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</si>
  <si>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</si>
  <si>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</si>
  <si>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</si>
  <si>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</si>
  <si>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</si>
  <si>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</si>
  <si>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</si>
  <si>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</si>
  <si>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</si>
  <si>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</si>
  <si>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</si>
  <si>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</si>
  <si>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</si>
  <si>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</si>
  <si>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</si>
  <si>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</si>
  <si>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</si>
  <si>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</si>
  <si>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</si>
  <si>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</si>
  <si>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</si>
  <si>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</si>
  <si>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</si>
  <si>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</si>
  <si>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</si>
  <si>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</si>
  <si>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</si>
  <si>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</si>
  <si>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</si>
  <si>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</si>
  <si>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</si>
  <si>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</si>
  <si>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</si>
  <si>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</si>
  <si>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</si>
  <si>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</si>
  <si>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</si>
  <si>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</si>
  <si>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</si>
  <si>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</si>
  <si>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</si>
  <si>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</si>
  <si>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</si>
  <si>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</si>
  <si>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</si>
  <si>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</si>
  <si>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</si>
  <si>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</si>
  <si>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</si>
  <si>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</si>
  <si>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</si>
  <si>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</si>
  <si>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</si>
  <si>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</si>
  <si>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</si>
  <si>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</si>
  <si>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</si>
  <si>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</si>
  <si>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</si>
  <si>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</si>
  <si>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</si>
  <si>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</si>
  <si>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</si>
  <si>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</si>
  <si>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</si>
  <si>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</si>
  <si>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</si>
  <si>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</si>
  <si>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</si>
  <si>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</si>
  <si>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</si>
  <si>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</si>
  <si>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</si>
  <si>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</si>
  <si>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</si>
  <si>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</si>
  <si>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</si>
  <si>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</si>
  <si>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</si>
  <si>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</si>
  <si>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</si>
  <si>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</si>
  <si>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</si>
  <si>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</si>
  <si>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</si>
  <si>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</si>
  <si>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</si>
  <si>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</si>
  <si>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</si>
  <si>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</si>
  <si>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</si>
  <si>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</si>
  <si>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</si>
  <si>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</si>
  <si>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</si>
  <si>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</si>
  <si>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</si>
  <si>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</si>
  <si>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</si>
  <si>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</si>
  <si>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</si>
  <si>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</si>
  <si>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</si>
  <si>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</si>
  <si>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</si>
  <si>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</si>
  <si>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</si>
  <si>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</si>
  <si>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</si>
  <si>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</si>
  <si>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</si>
  <si>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</si>
  <si>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</si>
  <si>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</si>
  <si>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</si>
  <si>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</si>
  <si>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</si>
  <si>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</si>
  <si>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</si>
  <si>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</si>
  <si>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</si>
  <si>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</si>
  <si>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</si>
  <si>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</si>
  <si>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</si>
  <si>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</si>
  <si>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</si>
  <si>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</si>
  <si>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</si>
  <si>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</si>
  <si>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</si>
  <si>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</si>
  <si>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</si>
  <si>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</si>
  <si>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</si>
  <si>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</si>
  <si>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</si>
  <si>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</si>
  <si>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</si>
  <si>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</si>
  <si>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</si>
  <si>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</si>
  <si>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</si>
  <si>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</si>
  <si>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</si>
  <si>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</si>
  <si>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</si>
  <si>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</si>
  <si>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</si>
  <si>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</si>
  <si>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</si>
  <si>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</si>
  <si>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</si>
  <si>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</si>
  <si>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</si>
  <si>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</si>
  <si>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</si>
  <si>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</si>
  <si>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</si>
  <si>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</si>
  <si>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</si>
  <si>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</si>
  <si>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</si>
  <si>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</si>
  <si>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</si>
  <si>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</si>
  <si>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</si>
  <si>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</si>
  <si>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</si>
  <si>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</si>
  <si>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</si>
  <si>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</si>
  <si>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</si>
  <si>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</si>
  <si>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</si>
  <si>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</si>
  <si>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</si>
  <si>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</si>
  <si>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</si>
  <si>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</si>
  <si>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</si>
  <si>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</si>
  <si>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</si>
  <si>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</si>
  <si>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</si>
  <si>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</si>
  <si>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</si>
  <si>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</si>
  <si>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</si>
  <si>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</si>
  <si>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</si>
  <si>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</si>
  <si>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</si>
  <si>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</si>
  <si>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</si>
  <si>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</si>
  <si>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</si>
  <si>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</si>
  <si>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</si>
  <si>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</si>
  <si>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</si>
  <si>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</si>
  <si>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</si>
  <si>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</si>
  <si>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</si>
  <si>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</si>
  <si>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</si>
  <si>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</si>
  <si>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</si>
  <si>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</si>
  <si>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</si>
  <si>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</si>
  <si>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</si>
  <si>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</si>
  <si>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</si>
  <si>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</si>
  <si>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</si>
  <si>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</si>
  <si>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</si>
  <si>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</si>
  <si>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</si>
  <si>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</si>
  <si>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</si>
  <si>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</si>
  <si>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</si>
  <si>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</si>
  <si>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</si>
  <si>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</si>
  <si>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</si>
  <si>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</si>
  <si>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</si>
  <si>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</si>
  <si>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</si>
  <si>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</si>
  <si>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</si>
  <si>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</si>
  <si>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</si>
  <si>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</si>
  <si>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</si>
  <si>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</si>
  <si>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</si>
  <si>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</si>
  <si>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</si>
  <si>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</si>
  <si>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</si>
  <si>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</si>
  <si>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</si>
  <si>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</si>
  <si>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</si>
  <si>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</si>
  <si>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</si>
  <si>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</si>
  <si>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</si>
  <si>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</si>
  <si>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</si>
  <si>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</si>
  <si>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</si>
  <si>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</si>
  <si>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</si>
  <si>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</si>
  <si>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</si>
  <si>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</si>
  <si>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</si>
  <si>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</si>
  <si>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</si>
  <si>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</si>
  <si>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</si>
  <si>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</si>
  <si>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</si>
  <si>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</si>
  <si>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</si>
  <si>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</si>
  <si>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</si>
  <si>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</si>
  <si>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</si>
  <si>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</si>
  <si>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</si>
  <si>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</si>
  <si>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</si>
  <si>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</si>
  <si>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</si>
  <si>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</si>
  <si>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</si>
  <si>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</si>
  <si>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</si>
  <si>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</si>
  <si>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</si>
  <si>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</si>
  <si>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</si>
  <si>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</si>
  <si>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</si>
  <si>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</si>
  <si>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</si>
  <si>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</si>
  <si>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</si>
  <si>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</si>
  <si>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</si>
  <si>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</si>
  <si>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</si>
  <si>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</si>
  <si>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</si>
  <si>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</si>
  <si>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</si>
  <si>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</si>
  <si>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</si>
  <si>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</si>
  <si>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</si>
  <si>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</si>
  <si>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</si>
  <si>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</si>
  <si>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</si>
  <si>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</si>
  <si>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</si>
  <si>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</si>
  <si>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</si>
  <si>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</si>
  <si>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</si>
  <si>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</si>
  <si>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</si>
  <si>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</si>
  <si>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</si>
  <si>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</si>
  <si>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</si>
  <si>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</si>
  <si>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</si>
  <si>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</si>
  <si>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</si>
  <si>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</si>
  <si>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</si>
  <si>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</si>
  <si>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</si>
  <si>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</si>
  <si>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</si>
  <si>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</si>
  <si>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</si>
  <si>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</si>
  <si>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</si>
  <si>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</si>
  <si>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</si>
  <si>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</si>
  <si>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</si>
  <si>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</si>
  <si>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</si>
  <si>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</si>
  <si>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</si>
  <si>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</si>
  <si>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</si>
  <si>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</si>
  <si>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</si>
  <si>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</si>
  <si>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</si>
  <si>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</si>
  <si>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</si>
  <si>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</si>
  <si>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</si>
  <si>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</si>
  <si>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</si>
  <si>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</si>
  <si>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</si>
  <si>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</si>
  <si>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</si>
  <si>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</si>
  <si>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</si>
  <si>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</si>
  <si>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</si>
  <si>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</si>
  <si>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</si>
  <si>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</si>
  <si>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</si>
  <si>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</si>
  <si>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</si>
  <si>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</si>
  <si>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</si>
  <si>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</si>
  <si>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</si>
  <si>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</si>
  <si>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</si>
  <si>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</si>
  <si>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</si>
  <si>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</si>
  <si>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</si>
  <si>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</si>
  <si>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</si>
  <si>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</si>
  <si>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</si>
  <si>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</si>
  <si>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</si>
  <si>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</si>
  <si>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</si>
  <si>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</si>
  <si>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</si>
  <si>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</si>
  <si>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</si>
  <si>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</si>
  <si>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</si>
  <si>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</si>
  <si>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</si>
  <si>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</si>
  <si>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</si>
  <si>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</si>
  <si>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</si>
  <si>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</si>
  <si>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</si>
  <si>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</si>
  <si>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</si>
  <si>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</si>
  <si>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</si>
  <si>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</si>
  <si>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</si>
  <si>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</si>
  <si>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</si>
  <si>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</si>
  <si>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</si>
  <si>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</si>
  <si>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</si>
  <si>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</si>
  <si>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</si>
  <si>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</si>
  <si>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</si>
  <si>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</si>
  <si>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</si>
  <si>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</si>
  <si>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</si>
  <si>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</si>
  <si>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</si>
  <si>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</si>
  <si>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</si>
  <si>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</si>
  <si>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</si>
  <si>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</si>
  <si>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</si>
  <si>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</si>
  <si>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</si>
  <si>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</si>
  <si>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</si>
  <si>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</si>
  <si>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</si>
  <si>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</si>
  <si>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</si>
  <si>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</si>
  <si>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</si>
  <si>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</si>
  <si>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</si>
  <si>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</si>
  <si>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</si>
  <si>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</si>
  <si>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</si>
  <si>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</si>
  <si>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</si>
  <si>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</si>
  <si>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</si>
  <si>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</si>
  <si>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</si>
  <si>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</si>
  <si>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</si>
  <si>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</si>
  <si>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</si>
  <si>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</si>
  <si>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</si>
  <si>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</si>
  <si>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</si>
  <si>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</si>
  <si>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</si>
  <si>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</si>
  <si>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</si>
  <si>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</si>
  <si>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</si>
  <si>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</si>
  <si>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</si>
  <si>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</si>
  <si>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</si>
  <si>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</si>
  <si>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</si>
  <si>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</si>
  <si>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</si>
  <si>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</si>
  <si>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</si>
  <si>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</si>
  <si>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</si>
  <si>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</si>
  <si>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</si>
  <si>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</si>
  <si>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</si>
  <si>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</si>
  <si>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</si>
  <si>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</si>
  <si>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</si>
  <si>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</si>
  <si>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</si>
  <si>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</si>
  <si>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</si>
  <si>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</si>
  <si>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</si>
  <si>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</si>
  <si>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</si>
  <si>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</si>
  <si>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</si>
  <si>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</si>
  <si>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</si>
  <si>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</si>
  <si>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</si>
  <si>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</si>
  <si>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</si>
  <si>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</si>
  <si>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</si>
  <si>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</si>
  <si>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</si>
  <si>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</si>
  <si>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</si>
  <si>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</si>
  <si>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</si>
  <si>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</si>
  <si>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</si>
  <si>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</si>
  <si>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</si>
  <si>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</si>
  <si>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</si>
  <si>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</si>
  <si>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</si>
  <si>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</si>
  <si>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</si>
  <si>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</si>
  <si>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</si>
  <si>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</si>
  <si>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</si>
  <si>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</si>
  <si>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</si>
  <si>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</si>
  <si>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</si>
  <si>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</si>
  <si>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</si>
  <si>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</si>
  <si>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</si>
  <si>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</si>
  <si>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</si>
  <si>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</si>
  <si>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</si>
  <si>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</si>
  <si>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</si>
  <si>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</si>
  <si>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</si>
  <si>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</si>
  <si>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</si>
  <si>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</si>
  <si>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</si>
  <si>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</si>
  <si>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</si>
  <si>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</si>
  <si>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</si>
  <si>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</si>
  <si>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</si>
  <si>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</si>
  <si>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</si>
  <si>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</si>
  <si>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</si>
  <si>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</si>
  <si>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</si>
  <si>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</si>
  <si>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</si>
  <si>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</si>
  <si>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</si>
  <si>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</si>
  <si>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</si>
  <si>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</si>
  <si>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</si>
  <si>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</si>
  <si>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</si>
  <si>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</si>
  <si>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</si>
  <si>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</si>
  <si>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</si>
  <si>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</si>
  <si>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</si>
  <si>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</si>
  <si>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</si>
  <si>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</si>
  <si>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</si>
  <si>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</si>
  <si>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</si>
  <si>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</si>
  <si>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</si>
  <si>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</si>
  <si>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</si>
  <si>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</si>
  <si>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</si>
  <si>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</si>
  <si>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</si>
  <si>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</si>
  <si>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</si>
  <si>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</si>
  <si>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</si>
  <si>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</si>
  <si>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</si>
  <si>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</si>
  <si>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</si>
  <si>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</si>
  <si>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</si>
  <si>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</si>
  <si>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</si>
  <si>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</si>
  <si>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</si>
  <si>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</si>
  <si>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</si>
  <si>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</si>
  <si>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</si>
  <si>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</si>
  <si>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</si>
  <si>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</si>
  <si>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</si>
  <si>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</si>
  <si>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</si>
  <si>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</si>
  <si>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</si>
  <si>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</si>
  <si>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</si>
  <si>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</si>
  <si>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</si>
  <si>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</si>
  <si>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</si>
  <si>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</si>
  <si>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</si>
  <si>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</si>
  <si>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</si>
  <si>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</si>
  <si>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</si>
  <si>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</si>
  <si>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</si>
  <si>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</si>
  <si>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</si>
  <si>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</si>
  <si>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</si>
  <si>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</si>
  <si>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</si>
  <si>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</si>
  <si>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</si>
  <si>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</si>
  <si>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</si>
  <si>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</si>
  <si>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</si>
  <si>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</si>
  <si>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</si>
  <si>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</si>
  <si>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</si>
  <si>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</si>
  <si>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</si>
  <si>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</si>
  <si>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</si>
  <si>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</si>
  <si>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</si>
  <si>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</si>
  <si>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</si>
  <si>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</si>
  <si>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</si>
  <si>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</si>
  <si>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</si>
  <si>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</si>
  <si>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</si>
  <si>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</si>
  <si>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</si>
  <si>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</si>
  <si>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</si>
  <si>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</si>
  <si>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</si>
  <si>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</si>
  <si>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</si>
  <si>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</si>
  <si>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</si>
  <si>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</si>
  <si>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</si>
  <si>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</si>
  <si>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</si>
  <si>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</si>
  <si>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</si>
  <si>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</si>
  <si>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</si>
  <si>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</si>
  <si>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</si>
  <si>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</si>
  <si>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</si>
  <si>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</si>
  <si>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</si>
  <si>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</si>
  <si>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</si>
  <si>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</si>
  <si>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</si>
  <si>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</si>
  <si>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</si>
  <si>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</si>
  <si>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</si>
  <si>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</si>
  <si>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</si>
  <si>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</si>
  <si>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</si>
  <si>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</si>
  <si>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</si>
  <si>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</si>
  <si>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</si>
  <si>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</si>
  <si>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</si>
  <si>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</si>
  <si>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</si>
  <si>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</si>
  <si>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</si>
  <si>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</si>
  <si>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</si>
  <si>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</si>
  <si>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</si>
  <si>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</si>
  <si>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</si>
  <si>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</si>
  <si>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</si>
  <si>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</si>
  <si>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</si>
  <si>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</si>
  <si>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</si>
  <si>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</si>
  <si>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</si>
  <si>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</si>
  <si>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</si>
  <si>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</si>
  <si>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</si>
  <si>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</si>
  <si>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</si>
  <si>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</si>
  <si>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</si>
  <si>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</si>
  <si>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</si>
  <si>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</si>
  <si>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</si>
  <si>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</si>
  <si>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</si>
  <si>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</si>
  <si>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</si>
  <si>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</si>
  <si>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</si>
  <si>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</si>
  <si>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</si>
  <si>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</si>
  <si>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</si>
  <si>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</si>
  <si>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</si>
  <si>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</si>
  <si>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</si>
  <si>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</si>
  <si>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</si>
  <si>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</si>
  <si>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</si>
  <si>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</si>
  <si>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</si>
  <si>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</si>
  <si>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</si>
  <si>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</si>
  <si>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</si>
  <si>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</si>
  <si>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</si>
  <si>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</si>
  <si>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</si>
  <si>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</si>
  <si>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</si>
  <si>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</si>
  <si>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</si>
  <si>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</si>
  <si>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</si>
  <si>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</si>
  <si>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</si>
  <si>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</si>
  <si>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</si>
  <si>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</si>
  <si>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</si>
  <si>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</si>
  <si>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</si>
  <si>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</si>
  <si>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</si>
  <si>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</si>
  <si>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</si>
  <si>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</si>
  <si>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</si>
  <si>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</si>
  <si>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</si>
  <si>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</si>
  <si>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</si>
  <si>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</si>
  <si>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</si>
  <si>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</si>
  <si>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</si>
  <si>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</si>
  <si>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</si>
  <si>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</si>
  <si>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</si>
  <si>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</si>
  <si>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</si>
  <si>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</si>
  <si>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</si>
  <si>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</si>
  <si>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</si>
  <si>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</si>
  <si>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</si>
  <si>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</si>
  <si>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</si>
  <si>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</si>
  <si>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</si>
  <si>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</si>
  <si>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</si>
  <si>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</si>
  <si>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</si>
  <si>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</si>
  <si>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</si>
  <si>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</si>
  <si>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</si>
  <si>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</si>
  <si>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</si>
  <si>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</si>
  <si>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</si>
  <si>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</si>
  <si>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</si>
  <si>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</si>
  <si>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</si>
  <si>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</si>
  <si>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</si>
  <si>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</si>
  <si>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</si>
  <si>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</si>
  <si>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</si>
  <si>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</si>
  <si>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</si>
  <si>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</si>
  <si>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</si>
  <si>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</si>
  <si>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</si>
  <si>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</si>
  <si>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</si>
  <si>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</si>
  <si>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</si>
  <si>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</si>
  <si>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</si>
  <si>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</si>
  <si>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</si>
  <si>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</si>
  <si>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</si>
  <si>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</si>
  <si>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</si>
  <si>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</si>
  <si>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</si>
  <si>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</si>
  <si>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</si>
  <si>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</si>
  <si>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</si>
  <si>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</si>
  <si>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</si>
  <si>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</si>
  <si>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</si>
  <si>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</si>
  <si>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</si>
  <si>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</si>
  <si>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</si>
  <si>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</si>
  <si>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</si>
  <si>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</si>
  <si>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</si>
  <si>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</si>
  <si>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</si>
  <si>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</si>
  <si>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</si>
  <si>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</si>
  <si>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</si>
  <si>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</si>
  <si>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</si>
  <si>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</si>
  <si>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</si>
  <si>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</si>
  <si>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</si>
  <si>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</si>
  <si>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</si>
  <si>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</si>
  <si>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</si>
  <si>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</si>
  <si>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</si>
  <si>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</si>
  <si>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</si>
  <si>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</si>
  <si>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</si>
  <si>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</si>
  <si>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</si>
  <si>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</si>
  <si>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</si>
  <si>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</si>
  <si>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</si>
  <si>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</si>
  <si>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</si>
  <si>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</si>
  <si>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</si>
  <si>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</si>
  <si>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</si>
  <si>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</si>
  <si>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</si>
  <si>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</si>
  <si>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</si>
  <si>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</si>
  <si>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</si>
  <si>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</si>
  <si>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</si>
  <si>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</si>
  <si>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</si>
  <si>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</si>
  <si>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</si>
  <si>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</si>
  <si>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</si>
  <si>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</si>
  <si>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</si>
  <si>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</si>
  <si>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</si>
  <si>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</si>
  <si>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</si>
  <si>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</si>
  <si>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</si>
  <si>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</si>
  <si>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</si>
  <si>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</si>
  <si>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</si>
  <si>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</si>
  <si>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</si>
  <si>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</si>
  <si>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</si>
  <si>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</si>
  <si>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</si>
  <si>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</si>
  <si>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</si>
  <si>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</si>
  <si>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</si>
  <si>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</si>
  <si>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</si>
  <si>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</si>
  <si>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</si>
  <si>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</si>
  <si>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</si>
  <si>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</si>
  <si>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</si>
  <si>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</si>
  <si>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</si>
  <si>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</si>
  <si>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</si>
  <si>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</si>
  <si>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</si>
  <si>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</si>
  <si>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</si>
  <si>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</si>
  <si>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</si>
  <si>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</si>
  <si>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</si>
  <si>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</si>
  <si>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</si>
  <si>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</si>
  <si>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</si>
  <si>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</si>
  <si>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</si>
  <si>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</si>
  <si>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</si>
  <si>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</si>
  <si>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</si>
  <si>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</si>
  <si>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</si>
  <si>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</si>
  <si>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</si>
  <si>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</si>
  <si>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</si>
  <si>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</si>
  <si>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</si>
  <si>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</si>
  <si>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</si>
  <si>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</si>
  <si>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</si>
  <si>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</si>
  <si>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</si>
  <si>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</si>
  <si>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</si>
  <si>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</si>
  <si>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</si>
  <si>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</si>
  <si>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</si>
  <si>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</si>
  <si>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</si>
  <si>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</si>
  <si>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</si>
  <si>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</si>
  <si>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</si>
  <si>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</si>
  <si>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</si>
  <si>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</si>
  <si>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</si>
  <si>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</si>
  <si>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</si>
  <si>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</si>
  <si>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</si>
  <si>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</si>
  <si>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</si>
  <si>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</si>
  <si>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</si>
  <si>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</si>
  <si>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</si>
  <si>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</si>
  <si>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</si>
  <si>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</si>
  <si>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</si>
  <si>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</si>
  <si>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</si>
  <si>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</si>
  <si>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</si>
  <si>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</si>
  <si>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</si>
  <si>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</si>
  <si>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</si>
  <si>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</si>
  <si>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</si>
  <si>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</si>
  <si>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</si>
  <si>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</si>
  <si>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</si>
  <si>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</si>
  <si>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</si>
  <si>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</si>
  <si>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</si>
  <si>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</si>
  <si>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</si>
  <si>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</si>
  <si>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</si>
  <si>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</si>
  <si>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</si>
  <si>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</si>
  <si>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</si>
  <si>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</si>
  <si>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</si>
  <si>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</si>
  <si>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</si>
  <si>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</si>
  <si>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</si>
  <si>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</si>
  <si>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</si>
  <si>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</si>
  <si>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</si>
  <si>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</si>
  <si>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</si>
  <si>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</si>
  <si>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</si>
  <si>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</si>
  <si>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</si>
  <si>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</si>
  <si>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</si>
  <si>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</si>
  <si>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</si>
  <si>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</si>
  <si>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</si>
  <si>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</si>
  <si>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</si>
  <si>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</si>
  <si>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</si>
  <si>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</si>
  <si>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</si>
  <si>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</si>
  <si>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</si>
  <si>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</si>
  <si>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</si>
  <si>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</si>
  <si>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</si>
  <si>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</si>
  <si>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</si>
  <si>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</si>
  <si>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</si>
  <si>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</si>
  <si>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</si>
  <si>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</si>
  <si>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</si>
  <si>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</si>
  <si>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</si>
  <si>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</si>
  <si>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</si>
  <si>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</si>
  <si>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</si>
  <si>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</si>
  <si>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</si>
  <si>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</si>
  <si>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</si>
  <si>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</si>
  <si>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</si>
  <si>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</si>
  <si>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</si>
  <si>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</si>
  <si>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</si>
  <si>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</si>
  <si>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</si>
  <si>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</si>
  <si>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</si>
  <si>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</si>
  <si>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</si>
  <si>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</si>
  <si>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</si>
  <si>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</si>
  <si>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</si>
  <si>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</si>
  <si>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</si>
  <si>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</si>
  <si>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</si>
  <si>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</si>
  <si>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</si>
  <si>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</si>
  <si>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</si>
  <si>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</si>
  <si>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</si>
  <si>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</si>
  <si>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</si>
  <si>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</si>
  <si>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</si>
  <si>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</si>
  <si>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</si>
  <si>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</si>
  <si>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</si>
  <si>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</si>
  <si>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</si>
  <si>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</si>
  <si>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</si>
  <si>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</si>
  <si>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</si>
  <si>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</si>
  <si>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</si>
  <si>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</si>
  <si>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</si>
  <si>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</si>
  <si>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</si>
  <si>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</si>
  <si>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</si>
  <si>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</si>
  <si>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</si>
  <si>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</si>
  <si>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</si>
  <si>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</si>
  <si>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</si>
  <si>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</si>
  <si>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</si>
  <si>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</si>
  <si>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</si>
  <si>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</si>
  <si>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</si>
  <si>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</si>
  <si>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</si>
  <si>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</si>
  <si>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</si>
  <si>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</si>
  <si>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</si>
  <si>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</si>
  <si>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</si>
  <si>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</si>
  <si>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</si>
  <si>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</si>
  <si>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</si>
  <si>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</si>
  <si>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</si>
  <si>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</si>
  <si>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</si>
  <si>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</si>
  <si>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</si>
  <si>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</si>
  <si>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</si>
  <si>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</si>
  <si>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</si>
  <si>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</si>
  <si>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</si>
  <si>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</si>
  <si>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</si>
  <si>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</si>
  <si>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</si>
  <si>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</si>
  <si>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</si>
  <si>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</si>
  <si>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</si>
  <si>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</si>
  <si>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</si>
  <si>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</si>
  <si>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</si>
  <si>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</si>
  <si>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</si>
  <si>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</si>
  <si>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</si>
  <si>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</si>
  <si>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</si>
  <si>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</si>
  <si>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</si>
  <si>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</si>
  <si>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</si>
  <si>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</si>
  <si>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</si>
  <si>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</si>
  <si>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</si>
  <si>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</si>
  <si>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</si>
  <si>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</si>
  <si>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</si>
  <si>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</si>
  <si>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</si>
  <si>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</si>
  <si>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</si>
  <si>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</si>
  <si>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</si>
  <si>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</si>
  <si>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</si>
  <si>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</si>
  <si>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</si>
  <si>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</si>
  <si>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</si>
  <si>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</si>
  <si>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</si>
  <si>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</si>
  <si>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</si>
  <si>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</si>
  <si>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</si>
  <si>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</si>
  <si>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</si>
  <si>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</si>
  <si>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</si>
  <si>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</si>
  <si>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</si>
  <si>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</si>
  <si>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</si>
  <si>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</si>
  <si>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</si>
  <si>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</si>
  <si>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</si>
  <si>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</si>
  <si>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</si>
  <si>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</si>
  <si>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</si>
  <si>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</si>
  <si>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</si>
  <si>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</si>
  <si>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</si>
  <si>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</si>
  <si>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</si>
  <si>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</si>
  <si>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</si>
  <si>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</si>
  <si>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</si>
  <si>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</si>
  <si>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</si>
  <si>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</si>
  <si>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</si>
  <si>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</si>
  <si>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</si>
  <si>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</si>
  <si>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</si>
  <si>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</si>
  <si>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</si>
  <si>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</si>
  <si>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</si>
  <si>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</si>
  <si>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</si>
  <si>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</si>
  <si>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</si>
  <si>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</si>
  <si>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</si>
  <si>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</si>
  <si>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</si>
  <si>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</si>
  <si>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</si>
  <si>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</si>
  <si>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</si>
  <si>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</si>
  <si>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</si>
  <si>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</si>
  <si>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</si>
  <si>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</si>
  <si>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</si>
  <si>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</si>
  <si>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</si>
  <si>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</si>
  <si>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</si>
  <si>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</si>
  <si>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</si>
  <si>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</si>
  <si>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</si>
  <si>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</si>
  <si>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</si>
  <si>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</si>
  <si>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</si>
  <si>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</si>
  <si>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</si>
  <si>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</si>
  <si>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</si>
  <si>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</si>
  <si>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</si>
  <si>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</si>
  <si>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</si>
  <si>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</si>
  <si>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</si>
  <si>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</si>
  <si>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</si>
  <si>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</si>
  <si>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</si>
  <si>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</si>
  <si>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</si>
  <si>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</si>
  <si>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</si>
  <si>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</si>
  <si>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</si>
  <si>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</si>
  <si>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</si>
  <si>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</si>
  <si>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</si>
  <si>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</si>
  <si>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</si>
  <si>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</si>
  <si>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</si>
  <si>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</si>
  <si>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</si>
  <si>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</si>
  <si>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</si>
  <si>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</si>
  <si>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</si>
  <si>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</si>
  <si>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</si>
  <si>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</si>
  <si>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</si>
  <si>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</si>
  <si>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</si>
  <si>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</si>
  <si>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</si>
  <si>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</si>
  <si>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</si>
  <si>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</si>
  <si>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</si>
  <si>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</si>
  <si>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</si>
  <si>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</si>
  <si>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</si>
  <si>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</si>
  <si>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</si>
  <si>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</si>
  <si>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</si>
  <si>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</si>
  <si>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</si>
  <si>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</si>
  <si>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</si>
  <si>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</si>
  <si>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</si>
  <si>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</si>
  <si>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</si>
  <si>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</si>
  <si>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</si>
  <si>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</si>
  <si>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</si>
  <si>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</si>
  <si>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</si>
  <si>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</si>
  <si>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</si>
  <si>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</si>
  <si>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</si>
  <si>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</si>
  <si>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</si>
  <si>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</si>
  <si>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</si>
  <si>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</si>
  <si>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</si>
  <si>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</si>
  <si>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</si>
  <si>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</si>
  <si>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</si>
  <si>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</si>
  <si>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</si>
  <si>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</si>
  <si>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</si>
  <si>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</si>
  <si>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</si>
  <si>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</si>
  <si>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</si>
  <si>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</si>
  <si>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</si>
  <si>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</si>
  <si>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</si>
  <si>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</si>
  <si>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</si>
  <si>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</si>
  <si>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</si>
  <si>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</si>
  <si>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</si>
  <si>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</si>
  <si>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</si>
  <si>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</si>
  <si>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</si>
  <si>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</si>
  <si>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</si>
  <si>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</si>
  <si>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</si>
  <si>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</si>
  <si>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</si>
  <si>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</si>
  <si>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</si>
  <si>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</si>
  <si>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</si>
  <si>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</si>
  <si>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</si>
  <si>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</si>
  <si>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</si>
  <si>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</si>
  <si>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</si>
  <si>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</si>
  <si>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</si>
  <si>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</si>
  <si>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</si>
  <si>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</si>
  <si>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</si>
  <si>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</si>
  <si>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</si>
  <si>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</si>
  <si>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</si>
  <si>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</si>
  <si>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</si>
  <si>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</si>
  <si>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</si>
  <si>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</si>
  <si>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</si>
  <si>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</si>
  <si>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</si>
  <si>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</si>
  <si>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</si>
  <si>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</si>
  <si>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</si>
  <si>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</si>
  <si>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</si>
  <si>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</si>
  <si>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</si>
  <si>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</si>
  <si>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</si>
  <si>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</si>
  <si>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</si>
  <si>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</si>
  <si>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</si>
  <si>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</si>
  <si>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</si>
  <si>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</si>
  <si>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</si>
  <si>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</si>
  <si>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</si>
  <si>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</si>
  <si>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</si>
  <si>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</si>
  <si>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</si>
  <si>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</si>
  <si>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</si>
  <si>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</si>
  <si>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</si>
  <si>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</si>
  <si>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</si>
  <si>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</si>
  <si>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</si>
  <si>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</si>
  <si>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</si>
  <si>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</si>
  <si>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</si>
  <si>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</si>
  <si>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</si>
  <si>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</si>
  <si>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</si>
  <si>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</si>
  <si>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</si>
  <si>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</si>
  <si>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</si>
  <si>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</si>
  <si>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</si>
  <si>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</si>
  <si>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</si>
  <si>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</si>
  <si>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</si>
  <si>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</si>
  <si>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</si>
  <si>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</si>
  <si>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</si>
  <si>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</si>
  <si>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</si>
  <si>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</si>
  <si>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</si>
  <si>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</si>
  <si>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</si>
  <si>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</si>
  <si>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</si>
  <si>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</si>
  <si>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</si>
  <si>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</si>
  <si>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</si>
  <si>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</si>
  <si>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</si>
  <si>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</si>
  <si>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</si>
  <si>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</si>
  <si>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</si>
  <si>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</si>
  <si>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</si>
  <si>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</si>
  <si>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</si>
  <si>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</si>
  <si>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</si>
  <si>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</si>
  <si>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</si>
  <si>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</si>
  <si>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</si>
  <si>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</si>
  <si>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</si>
  <si>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</si>
  <si>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</si>
  <si>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</si>
  <si>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</si>
  <si>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</si>
  <si>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</si>
  <si>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</si>
  <si>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</si>
  <si>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</si>
  <si>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</si>
  <si>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</si>
  <si>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</si>
  <si>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</si>
  <si>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</si>
  <si>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</si>
  <si>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</si>
  <si>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</si>
  <si>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</si>
  <si>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</si>
  <si>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</si>
  <si>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</si>
  <si>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</si>
  <si>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</si>
  <si>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</si>
  <si>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</si>
  <si>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</si>
  <si>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</si>
  <si>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</si>
  <si>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</si>
  <si>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</si>
  <si>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</si>
  <si>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</si>
  <si>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</si>
  <si>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</si>
  <si>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</si>
  <si>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</si>
  <si>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</si>
  <si>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</si>
  <si>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</si>
  <si>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</si>
  <si>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</si>
  <si>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</si>
  <si>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</si>
  <si>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</si>
  <si>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</si>
  <si>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</si>
  <si>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</si>
  <si>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</si>
  <si>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</si>
  <si>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</si>
  <si>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</si>
  <si>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</si>
  <si>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</si>
  <si>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</si>
  <si>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</si>
  <si>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</si>
  <si>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</si>
  <si>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</si>
  <si>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</si>
  <si>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</si>
  <si>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</si>
  <si>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</si>
  <si>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</si>
  <si>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</si>
  <si>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</si>
  <si>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</si>
  <si>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</si>
  <si>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</si>
  <si>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</si>
  <si>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</si>
  <si>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</si>
  <si>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</si>
  <si>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</si>
  <si>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</si>
  <si>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</si>
  <si>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</si>
  <si>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</si>
  <si>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</si>
  <si>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</si>
  <si>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</si>
  <si>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</si>
  <si>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</si>
  <si>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</si>
  <si>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</si>
  <si>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</si>
  <si>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</si>
  <si>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</si>
  <si>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</si>
  <si>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</si>
  <si>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</si>
  <si>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</si>
  <si>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</si>
  <si>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</si>
  <si>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</si>
  <si>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</si>
  <si>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</si>
  <si>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</si>
  <si>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</si>
  <si>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</si>
  <si>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</si>
  <si>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</si>
  <si>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</si>
  <si>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</si>
  <si>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</si>
  <si>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</si>
  <si>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</si>
  <si>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</si>
  <si>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</si>
  <si>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</si>
  <si>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</si>
  <si>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</si>
  <si>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</si>
  <si>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</si>
  <si>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</si>
  <si>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</si>
  <si>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</si>
  <si>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</si>
  <si>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</si>
  <si>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</si>
  <si>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</si>
  <si>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</si>
  <si>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</si>
  <si>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</si>
  <si>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</si>
  <si>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</si>
  <si>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</si>
  <si>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</si>
  <si>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</si>
  <si>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</si>
  <si>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</si>
  <si>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</si>
  <si>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</si>
  <si>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</si>
  <si>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</si>
  <si>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</si>
  <si>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</si>
  <si>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</si>
  <si>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</si>
  <si>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</si>
  <si>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</si>
  <si>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</si>
  <si>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</si>
  <si>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</si>
  <si>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</si>
  <si>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</si>
  <si>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</si>
  <si>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</si>
  <si>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</si>
  <si>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</si>
  <si>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</si>
  <si>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</si>
  <si>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</si>
  <si>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</si>
  <si>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</si>
  <si>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</si>
  <si>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</si>
  <si>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</si>
  <si>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</si>
  <si>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</si>
  <si>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</si>
  <si>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</si>
  <si>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</si>
  <si>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</si>
  <si>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</si>
  <si>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</si>
  <si>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</si>
  <si>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</si>
  <si>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</si>
  <si>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</si>
  <si>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</si>
  <si>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</si>
  <si>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</si>
  <si>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</si>
  <si>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</si>
  <si>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</si>
  <si>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</si>
  <si>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</si>
  <si>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</si>
  <si>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</si>
  <si>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</si>
  <si>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</si>
  <si>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</si>
  <si>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</si>
  <si>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</si>
  <si>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</si>
  <si>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</si>
  <si>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</si>
  <si>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</si>
  <si>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</si>
  <si>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</si>
  <si>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</si>
  <si>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</si>
  <si>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</si>
  <si>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</si>
  <si>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</si>
  <si>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</si>
  <si>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</si>
  <si>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</si>
  <si>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</si>
  <si>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</si>
  <si>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</si>
  <si>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</si>
  <si>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</si>
  <si>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</si>
  <si>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</si>
  <si>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</si>
  <si>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</si>
  <si>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</si>
  <si>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</si>
  <si>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</si>
  <si>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</si>
  <si>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</si>
  <si>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</si>
  <si>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</si>
  <si>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</si>
  <si>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</si>
  <si>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</si>
  <si>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</si>
  <si>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</si>
  <si>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</si>
  <si>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</si>
  <si>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</si>
  <si>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</si>
  <si>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</si>
  <si>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</si>
  <si>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</si>
  <si>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</si>
  <si>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</si>
  <si>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</si>
  <si>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</si>
  <si>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</si>
  <si>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</si>
  <si>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</si>
  <si>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</si>
  <si>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</si>
  <si>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</si>
  <si>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</si>
  <si>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</si>
  <si>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</si>
  <si>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</si>
  <si>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</si>
  <si>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</si>
  <si>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</si>
  <si>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</si>
  <si>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</si>
  <si>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</si>
  <si>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</si>
  <si>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</si>
  <si>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</si>
  <si>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</si>
  <si>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</si>
  <si>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</si>
  <si>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</si>
  <si>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</si>
  <si>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</si>
  <si>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</si>
  <si>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</si>
  <si>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</si>
  <si>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</si>
  <si>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</si>
  <si>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</si>
  <si>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</si>
  <si>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</si>
  <si>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</si>
  <si>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</si>
  <si>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</si>
  <si>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</si>
  <si>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</si>
  <si>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</si>
  <si>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</si>
  <si>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</si>
  <si>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</si>
  <si>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</si>
  <si>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</si>
  <si>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</si>
  <si>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</si>
  <si>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</si>
  <si>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</si>
  <si>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</si>
  <si>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</si>
  <si>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</si>
  <si>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</si>
  <si>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</si>
  <si>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</si>
  <si>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</si>
  <si>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</si>
  <si>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</si>
  <si>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</si>
  <si>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</si>
  <si>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</si>
  <si>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</si>
  <si>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</si>
  <si>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</si>
  <si>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</si>
  <si>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</si>
  <si>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</si>
  <si>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</si>
  <si>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</si>
  <si>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</si>
  <si>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</si>
  <si>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</si>
  <si>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</si>
  <si>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</si>
  <si>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</si>
  <si>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</si>
  <si>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</si>
  <si>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</si>
  <si>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</si>
  <si>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</si>
  <si>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</si>
  <si>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</si>
  <si>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</si>
  <si>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</si>
  <si>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</si>
  <si>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</si>
  <si>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</si>
  <si>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</si>
  <si>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</si>
  <si>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</si>
  <si>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</si>
  <si>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</si>
  <si>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</si>
  <si>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</si>
  <si>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</si>
  <si>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</si>
  <si>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</si>
  <si>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</si>
  <si>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</si>
  <si>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</si>
  <si>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</si>
  <si>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</si>
  <si>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</si>
  <si>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</si>
  <si>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</si>
  <si>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</si>
  <si>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</si>
  <si>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</si>
  <si>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</si>
  <si>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</si>
  <si>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</si>
  <si>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</si>
  <si>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</si>
  <si>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</si>
  <si>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</si>
  <si>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</si>
  <si>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</si>
  <si>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</si>
  <si>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</si>
  <si>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</si>
  <si>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</si>
  <si>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</si>
  <si>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</si>
  <si>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</si>
  <si>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</si>
  <si>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</si>
  <si>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</si>
  <si>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</si>
  <si>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</si>
  <si>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</si>
  <si>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</si>
  <si>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</si>
  <si>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</si>
  <si>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</si>
  <si>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</si>
  <si>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</si>
  <si>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</si>
  <si>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</si>
  <si>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</si>
  <si>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</si>
  <si>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</si>
  <si>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</si>
  <si>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</si>
  <si>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</si>
  <si>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</si>
  <si>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</si>
  <si>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</si>
  <si>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</si>
  <si>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</si>
  <si>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</si>
  <si>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</si>
  <si>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</si>
  <si>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</si>
  <si>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</si>
  <si>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</si>
  <si>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</si>
  <si>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</si>
  <si>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</si>
  <si>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</si>
  <si>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</si>
  <si>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</si>
  <si>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</si>
  <si>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</si>
  <si>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</si>
  <si>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</si>
  <si>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</si>
  <si>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</si>
  <si>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</si>
  <si>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</si>
  <si>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</si>
  <si>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</si>
  <si>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</si>
  <si>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</si>
  <si>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</si>
  <si>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</si>
  <si>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</si>
  <si>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</si>
  <si>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</si>
  <si>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</si>
  <si>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</si>
  <si>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</si>
  <si>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</si>
  <si>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</si>
  <si>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</si>
  <si>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</si>
  <si>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</si>
  <si>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</si>
  <si>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</si>
  <si>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</si>
  <si>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</si>
  <si>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</si>
  <si>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</si>
  <si>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</si>
  <si>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</si>
  <si>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</si>
  <si>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</si>
  <si>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</si>
  <si>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</si>
  <si>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</si>
  <si>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</si>
  <si>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</si>
  <si>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</si>
  <si>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</si>
  <si>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</si>
  <si>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</si>
  <si>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</si>
  <si>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</si>
  <si>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</si>
  <si>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</si>
  <si>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</si>
  <si>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</si>
  <si>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</si>
  <si>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</si>
  <si>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</si>
  <si>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</si>
  <si>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</si>
  <si>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</si>
  <si>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</si>
  <si>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</si>
  <si>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</si>
  <si>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</si>
  <si>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</si>
  <si>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</si>
  <si>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</si>
  <si>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</si>
  <si>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</si>
  <si>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</si>
  <si>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</si>
  <si>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</si>
  <si>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</si>
  <si>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</si>
  <si>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</si>
  <si>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</si>
  <si>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</si>
  <si>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</si>
  <si>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</si>
  <si>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</si>
  <si>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</si>
  <si>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</si>
  <si>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</si>
  <si>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</si>
  <si>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</si>
  <si>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</si>
  <si>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</si>
  <si>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</si>
  <si>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</si>
  <si>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</si>
  <si>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</si>
  <si>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</si>
  <si>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</si>
  <si>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</si>
  <si>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</si>
  <si>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</si>
  <si>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</si>
  <si>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</si>
  <si>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</si>
  <si>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</si>
  <si>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</si>
  <si>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</si>
  <si>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</si>
  <si>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</si>
  <si>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</si>
  <si>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</si>
  <si>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</si>
  <si>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</si>
  <si>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</si>
  <si>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</si>
  <si>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</si>
  <si>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</si>
  <si>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</si>
  <si>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</si>
  <si>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</si>
  <si>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</si>
  <si>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</si>
  <si>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</si>
  <si>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</si>
  <si>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</si>
  <si>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</si>
  <si>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</si>
  <si>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</si>
  <si>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</si>
  <si>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</si>
  <si>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</si>
  <si>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</si>
  <si>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</si>
  <si>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</si>
  <si>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</si>
  <si>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</si>
  <si>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</si>
  <si>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</si>
  <si>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</si>
  <si>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</si>
  <si>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</si>
  <si>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</si>
  <si>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</si>
  <si>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</si>
  <si>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</si>
  <si>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</si>
  <si>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</si>
  <si>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</si>
  <si>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</si>
  <si>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</si>
  <si>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</si>
  <si>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</si>
  <si>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</si>
  <si>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</si>
  <si>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</si>
  <si>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</si>
  <si>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</si>
  <si>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</si>
  <si>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</si>
  <si>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</si>
  <si>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</si>
  <si>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</si>
  <si>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</si>
  <si>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</si>
  <si>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</si>
  <si>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</si>
  <si>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</si>
  <si>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</si>
  <si>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</si>
  <si>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</si>
  <si>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</si>
  <si>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</si>
  <si>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</si>
  <si>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</si>
  <si>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</si>
  <si>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</si>
  <si>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</si>
  <si>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</si>
  <si>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</si>
  <si>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</si>
  <si>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</si>
  <si>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</si>
  <si>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</si>
  <si>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</si>
  <si>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</si>
  <si>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</si>
  <si>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</si>
  <si>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</si>
  <si>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</si>
  <si>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</si>
  <si>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</si>
  <si>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</si>
  <si>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</si>
  <si>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</si>
  <si>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</si>
  <si>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</si>
  <si>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</si>
  <si>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</si>
  <si>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</si>
  <si>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</si>
  <si>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</si>
  <si>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</si>
  <si>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</si>
  <si>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</si>
  <si>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</si>
  <si>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</si>
  <si>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</si>
  <si>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</si>
  <si>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</si>
  <si>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</si>
  <si>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</si>
  <si>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</si>
  <si>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</si>
  <si>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</si>
  <si>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</si>
  <si>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</si>
  <si>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</si>
  <si>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</si>
  <si>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</si>
  <si>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</si>
  <si>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</si>
  <si>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</si>
  <si>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</si>
  <si>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</si>
  <si>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</si>
  <si>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</si>
  <si>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</si>
  <si>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</si>
  <si>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</si>
  <si>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</si>
  <si>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</si>
  <si>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</si>
  <si>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</si>
  <si>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</si>
  <si>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</si>
  <si>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</si>
  <si>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</si>
  <si>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</si>
  <si>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</si>
  <si>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</si>
  <si>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</si>
  <si>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</si>
  <si>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</si>
  <si>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</si>
  <si>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</si>
  <si>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</si>
  <si>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</si>
  <si>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</si>
  <si>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</si>
  <si>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</si>
  <si>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</si>
  <si>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</si>
  <si>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</si>
  <si>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</si>
  <si>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</si>
  <si>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</si>
  <si>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</si>
  <si>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</si>
  <si>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</si>
  <si>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</si>
  <si>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</si>
  <si>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</si>
  <si>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</si>
  <si>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</si>
  <si>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</si>
  <si>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</si>
  <si>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</si>
  <si>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</si>
  <si>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</si>
  <si>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</si>
  <si>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</si>
  <si>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</si>
  <si>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</si>
  <si>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</si>
  <si>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</si>
  <si>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</si>
  <si>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</si>
  <si>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</si>
  <si>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</si>
  <si>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</si>
  <si>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</si>
  <si>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</si>
  <si>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</si>
  <si>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</si>
  <si>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</si>
  <si>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</si>
  <si>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</si>
  <si>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</si>
  <si>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</si>
  <si>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</si>
  <si>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</si>
  <si>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</si>
  <si>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</si>
  <si>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</si>
  <si>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</si>
  <si>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</si>
  <si>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</si>
  <si>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</si>
  <si>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</si>
  <si>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</si>
  <si>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</si>
  <si>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</si>
  <si>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</si>
  <si>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</si>
  <si>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</si>
  <si>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</si>
  <si>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</si>
  <si>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</si>
  <si>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</si>
  <si>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</si>
  <si>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</si>
  <si>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</si>
  <si>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</si>
  <si>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</si>
  <si>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</si>
  <si>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</si>
  <si>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</si>
  <si>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</si>
  <si>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</si>
  <si>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</si>
  <si>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</si>
  <si>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</si>
  <si>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</si>
  <si>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</si>
  <si>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</si>
  <si>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</si>
  <si>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</si>
  <si>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</si>
  <si>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</si>
  <si>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</si>
  <si>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</si>
  <si>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</si>
  <si>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</si>
  <si>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</si>
  <si>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</si>
  <si>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</si>
  <si>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</si>
  <si>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</si>
  <si>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</si>
  <si>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</si>
  <si>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</si>
  <si>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</si>
  <si>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</si>
  <si>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</si>
  <si>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</si>
  <si>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</si>
  <si>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</si>
  <si>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</si>
  <si>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</si>
  <si>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</si>
  <si>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</si>
  <si>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</si>
  <si>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</si>
  <si>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</si>
  <si>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</si>
  <si>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</si>
  <si>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</si>
  <si>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</si>
  <si>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</si>
  <si>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</si>
  <si>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</si>
  <si>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</si>
  <si>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</si>
  <si>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</si>
  <si>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</si>
  <si>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</si>
  <si>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</si>
  <si>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</si>
  <si>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</si>
  <si>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</si>
  <si>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</si>
  <si>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</si>
  <si>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</si>
  <si>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</si>
  <si>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</si>
  <si>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</si>
  <si>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</si>
  <si>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</si>
  <si>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</si>
  <si>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</si>
  <si>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</si>
  <si>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</si>
  <si>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</si>
  <si>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</si>
  <si>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</si>
  <si>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</si>
  <si>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</si>
  <si>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</si>
  <si>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</si>
  <si>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</si>
  <si>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</si>
  <si>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</si>
  <si>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</si>
  <si>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</si>
  <si>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</si>
  <si>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</si>
  <si>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</si>
  <si>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</si>
  <si>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</si>
  <si>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</si>
  <si>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</si>
  <si>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</si>
  <si>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</si>
  <si>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</si>
  <si>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</si>
  <si>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</si>
  <si>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</si>
  <si>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</si>
  <si>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</si>
  <si>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</si>
  <si>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</si>
  <si>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</si>
  <si>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</si>
  <si>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</si>
  <si>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</si>
  <si>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</si>
  <si>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</si>
  <si>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</si>
  <si>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</si>
  <si>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</si>
  <si>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</si>
  <si>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</si>
  <si>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</si>
  <si>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</si>
  <si>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</si>
  <si>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</si>
  <si>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</si>
  <si>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</si>
  <si>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</si>
  <si>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</si>
  <si>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</si>
  <si>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</si>
  <si>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</si>
  <si>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</si>
  <si>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</si>
  <si>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</si>
  <si>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</si>
  <si>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</si>
  <si>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</si>
  <si>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</si>
  <si>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</si>
  <si>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</si>
  <si>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</si>
  <si>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</si>
  <si>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</si>
  <si>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</si>
  <si>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</si>
  <si>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</si>
  <si>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</si>
  <si>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</si>
  <si>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</si>
  <si>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</si>
  <si>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</si>
  <si>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</si>
  <si>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</si>
  <si>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</si>
  <si>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</si>
  <si>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</si>
  <si>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</si>
  <si>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</si>
  <si>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</si>
  <si>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</si>
  <si>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</si>
  <si>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</si>
  <si>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</si>
  <si>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</si>
  <si>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</si>
  <si>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</si>
  <si>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</si>
  <si>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</si>
  <si>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</si>
  <si>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</si>
  <si>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</si>
  <si>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</si>
  <si>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</si>
  <si>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</si>
  <si>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</si>
  <si>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</si>
  <si>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</si>
  <si>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</si>
  <si>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</si>
  <si>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</si>
  <si>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</si>
  <si>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</si>
  <si>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</si>
  <si>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</si>
  <si>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</si>
  <si>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</si>
  <si>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</si>
  <si>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</si>
  <si>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</si>
  <si>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</si>
  <si>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</si>
  <si>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</si>
  <si>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</si>
  <si>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</si>
  <si>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</si>
  <si>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</si>
  <si>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</si>
  <si>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</si>
  <si>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</si>
  <si>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</si>
  <si>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</si>
  <si>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</si>
  <si>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</si>
  <si>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</si>
  <si>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</si>
  <si>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</si>
  <si>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</si>
  <si>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</si>
  <si>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</si>
  <si>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</si>
  <si>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</si>
  <si>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</si>
  <si>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</si>
  <si>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</si>
  <si>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</si>
  <si>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</si>
  <si>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</si>
  <si>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</si>
  <si>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</si>
  <si>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</si>
  <si>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</si>
  <si>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</si>
  <si>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</si>
  <si>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</si>
  <si>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</si>
  <si>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</si>
  <si>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</si>
  <si>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</si>
  <si>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</si>
  <si>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</si>
  <si>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</si>
  <si>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</si>
  <si>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</si>
  <si>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</si>
  <si>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</si>
  <si>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</si>
  <si>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</si>
  <si>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</si>
  <si>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</si>
  <si>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</si>
  <si>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</si>
  <si>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</si>
  <si>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</si>
  <si>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</si>
  <si>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</si>
  <si>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</si>
  <si>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</si>
  <si>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</si>
  <si>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</si>
  <si>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</si>
  <si>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</si>
  <si>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</si>
  <si>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</si>
  <si>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</si>
  <si>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</si>
  <si>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</si>
  <si>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</si>
  <si>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</si>
  <si>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</si>
  <si>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</si>
  <si>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</si>
  <si>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</si>
  <si>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</si>
  <si>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</si>
  <si>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</si>
  <si>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</si>
  <si>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</si>
  <si>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</si>
  <si>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</si>
  <si>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</si>
  <si>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</si>
  <si>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</si>
  <si>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</si>
  <si>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</si>
  <si>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</si>
  <si>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</si>
  <si>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</si>
  <si>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</si>
  <si>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</si>
  <si>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</si>
  <si>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</si>
  <si>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</si>
  <si>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</si>
  <si>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</si>
  <si>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</si>
  <si>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</si>
  <si>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</si>
  <si>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</si>
  <si>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</si>
  <si>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</si>
  <si>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</si>
  <si>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</si>
  <si>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</si>
  <si>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</si>
  <si>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</si>
  <si>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</si>
  <si>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</si>
  <si>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</si>
  <si>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</si>
  <si>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</si>
  <si>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</si>
  <si>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</si>
  <si>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</si>
  <si>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</si>
  <si>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</si>
  <si>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</si>
  <si>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</si>
  <si>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</si>
  <si>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</si>
  <si>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</si>
  <si>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</si>
  <si>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</si>
  <si>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</si>
  <si>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</si>
  <si>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</si>
  <si>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</si>
  <si>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</si>
  <si>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</si>
  <si>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</si>
  <si>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</si>
  <si>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</si>
  <si>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</si>
  <si>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</si>
  <si>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</si>
  <si>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</si>
  <si>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</si>
  <si>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</si>
  <si>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</si>
  <si>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</si>
  <si>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</si>
  <si>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</si>
  <si>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</si>
  <si>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</si>
  <si>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</si>
  <si>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</si>
  <si>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</si>
  <si>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</si>
  <si>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</si>
  <si>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</si>
  <si>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</si>
  <si>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</si>
  <si>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</si>
  <si>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</si>
  <si>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</si>
  <si>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</si>
  <si>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</si>
  <si>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</si>
  <si>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</si>
  <si>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</si>
  <si>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</si>
  <si>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</si>
  <si>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</si>
  <si>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</si>
  <si>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</si>
  <si>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</si>
  <si>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</si>
  <si>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</si>
  <si>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</si>
  <si>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</si>
  <si>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</si>
  <si>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</si>
  <si>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</si>
  <si>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</si>
  <si>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</si>
  <si>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</si>
  <si>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</si>
  <si>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</si>
  <si>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</si>
  <si>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</si>
  <si>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</si>
  <si>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</si>
  <si>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</si>
  <si>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</si>
  <si>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</si>
  <si>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</si>
  <si>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</si>
  <si>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</si>
  <si>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</si>
  <si>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</si>
  <si>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</si>
  <si>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</si>
  <si>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</si>
  <si>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</si>
  <si>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</si>
  <si>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</si>
  <si>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</si>
  <si>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</si>
  <si>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</si>
  <si>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</si>
  <si>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</si>
  <si>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</si>
  <si>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</si>
  <si>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</si>
  <si>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</si>
  <si>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</si>
  <si>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</si>
  <si>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</si>
  <si>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</si>
  <si>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</si>
  <si>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</si>
  <si>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</si>
  <si>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</si>
  <si>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</si>
  <si>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</si>
  <si>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</si>
  <si>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</si>
  <si>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</si>
  <si>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</si>
  <si>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</si>
  <si>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</si>
  <si>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</si>
  <si>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</si>
  <si>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</si>
  <si>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</si>
  <si>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</si>
  <si>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</si>
  <si>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</si>
  <si>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</si>
  <si>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</si>
  <si>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</si>
  <si>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</si>
  <si>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</si>
  <si>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</si>
  <si>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</si>
  <si>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</si>
  <si>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</si>
  <si>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</si>
  <si>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</si>
  <si>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</si>
  <si>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</si>
  <si>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</si>
  <si>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</si>
  <si>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</si>
  <si>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</si>
  <si>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</si>
  <si>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</si>
  <si>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</si>
  <si>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</si>
  <si>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</si>
  <si>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</si>
  <si>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</si>
  <si>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</si>
  <si>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</si>
  <si>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</si>
  <si>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</si>
  <si>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</si>
  <si>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</si>
  <si>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</si>
  <si>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</si>
  <si>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</si>
  <si>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</si>
  <si>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</si>
  <si>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</si>
  <si>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</si>
  <si>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</si>
  <si>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</si>
  <si>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</si>
  <si>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</si>
  <si>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</si>
  <si>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</si>
  <si>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</si>
  <si>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</si>
  <si>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</si>
  <si>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</si>
  <si>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</si>
  <si>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</si>
  <si>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</si>
  <si>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</si>
  <si>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</si>
  <si>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</si>
  <si>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</si>
  <si>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</si>
  <si>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</si>
  <si>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</si>
  <si>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</si>
  <si>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</si>
  <si>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</si>
  <si>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</si>
  <si>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</si>
  <si>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</si>
  <si>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</si>
  <si>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</si>
  <si>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</si>
  <si>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</si>
  <si>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</si>
  <si>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</si>
  <si>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</si>
  <si>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</si>
  <si>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</si>
  <si>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</si>
  <si>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</si>
  <si>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</si>
  <si>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</si>
  <si>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</si>
  <si>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</si>
  <si>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</si>
  <si>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</si>
  <si>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</si>
  <si>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</si>
  <si>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</si>
  <si>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</si>
  <si>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</si>
  <si>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</si>
  <si>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</si>
  <si>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</si>
  <si>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</si>
  <si>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</si>
  <si>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</si>
  <si>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</si>
  <si>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</si>
  <si>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</si>
  <si>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</si>
  <si>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</si>
  <si>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</si>
  <si>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</si>
  <si>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</si>
  <si>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</si>
  <si>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</si>
  <si>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</si>
  <si>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</si>
  <si>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</si>
  <si>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</si>
  <si>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</si>
  <si>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</si>
  <si>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</si>
  <si>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</si>
  <si>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</si>
  <si>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</si>
  <si>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</si>
  <si>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</si>
  <si>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</si>
  <si>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</si>
  <si>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</si>
  <si>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</si>
  <si>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</si>
  <si>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</si>
  <si>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</si>
  <si>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</si>
  <si>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</si>
  <si>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</si>
  <si>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</si>
  <si>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</si>
  <si>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</si>
  <si>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</si>
  <si>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</si>
  <si>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</si>
  <si>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</si>
  <si>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</si>
  <si>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</si>
  <si>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</si>
  <si>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</si>
  <si>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</si>
  <si>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</si>
  <si>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</si>
  <si>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</si>
  <si>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</si>
  <si>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</si>
  <si>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</si>
  <si>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</si>
  <si>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</si>
  <si>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</si>
  <si>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</si>
  <si>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</si>
  <si>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</si>
  <si>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</si>
  <si>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</si>
  <si>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</si>
  <si>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</si>
  <si>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</si>
  <si>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</si>
  <si>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</si>
  <si>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</si>
  <si>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</si>
  <si>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</si>
  <si>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</si>
  <si>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</si>
  <si>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</si>
  <si>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</si>
  <si>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</si>
  <si>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</si>
  <si>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</si>
  <si>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</si>
  <si>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</si>
  <si>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</si>
  <si>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</si>
  <si>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</si>
  <si>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</si>
  <si>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</si>
  <si>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</si>
  <si>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</si>
  <si>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</si>
  <si>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</si>
  <si>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</si>
  <si>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</si>
  <si>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</si>
  <si>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</si>
  <si>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</si>
  <si>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</si>
  <si>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</si>
  <si>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</si>
  <si>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</si>
  <si>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</si>
  <si>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</si>
  <si>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</si>
  <si>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</si>
  <si>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</si>
  <si>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</si>
  <si>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</si>
  <si>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</si>
  <si>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</si>
  <si>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</si>
  <si>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</si>
  <si>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</si>
  <si>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</si>
  <si>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</si>
  <si>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</si>
  <si>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</si>
  <si>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</si>
  <si>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</si>
  <si>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</si>
  <si>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</si>
  <si>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</si>
  <si>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</si>
  <si>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</si>
  <si>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</si>
  <si>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</si>
  <si>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</si>
  <si>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</si>
  <si>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</si>
  <si>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</si>
  <si>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</si>
  <si>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</si>
  <si>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</si>
  <si>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</si>
  <si>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</si>
  <si>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</si>
  <si>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</si>
  <si>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</si>
  <si>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</si>
  <si>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</si>
  <si>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</si>
  <si>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</si>
  <si>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</si>
  <si>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</si>
  <si>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</si>
  <si>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</si>
  <si>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</si>
  <si>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</si>
  <si>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</si>
  <si>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</si>
  <si>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</si>
  <si>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</si>
  <si>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</si>
  <si>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</si>
  <si>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</si>
  <si>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</si>
  <si>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</si>
  <si>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</si>
  <si>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</si>
  <si>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</si>
  <si>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</si>
  <si>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</si>
  <si>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</si>
  <si>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</si>
  <si>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</si>
  <si>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</si>
  <si>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</si>
  <si>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</si>
  <si>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</si>
  <si>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</si>
  <si>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</si>
  <si>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</si>
  <si>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</si>
  <si>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</si>
  <si>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</si>
  <si>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</si>
  <si>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</si>
  <si>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</si>
  <si>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</si>
  <si>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</si>
  <si>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</si>
  <si>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</si>
  <si>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</si>
  <si>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</si>
  <si>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</si>
  <si>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</si>
  <si>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</si>
  <si>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</si>
  <si>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</si>
  <si>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</si>
  <si>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</si>
  <si>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</si>
  <si>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</si>
  <si>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</si>
  <si>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</si>
  <si>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</si>
  <si>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</si>
  <si>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</si>
  <si>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</si>
  <si>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</si>
  <si>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</si>
  <si>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</si>
  <si>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</si>
  <si>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</si>
  <si>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</si>
  <si>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</si>
  <si>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</si>
  <si>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</si>
  <si>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</si>
  <si>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</si>
  <si>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</si>
  <si>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</si>
  <si>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</si>
  <si>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</si>
  <si>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</si>
  <si>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</si>
  <si>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</si>
  <si>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</si>
  <si>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</si>
  <si>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</si>
  <si>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</si>
  <si>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</si>
  <si>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</si>
  <si>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</si>
  <si>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</si>
  <si>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</si>
  <si>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</si>
  <si>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</si>
  <si>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</si>
  <si>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</si>
  <si>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</si>
  <si>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</si>
  <si>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</si>
  <si>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</si>
  <si>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</si>
  <si>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</si>
  <si>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</si>
  <si>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</si>
  <si>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</si>
  <si>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</si>
  <si>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</si>
  <si>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</si>
  <si>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</si>
  <si>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</si>
  <si>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</si>
  <si>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</si>
  <si>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</si>
  <si>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</si>
  <si>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</si>
  <si>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</si>
  <si>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</si>
  <si>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</si>
  <si>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</si>
  <si>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</si>
  <si>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</si>
  <si>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</si>
  <si>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</si>
  <si>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</si>
  <si>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</si>
  <si>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</si>
  <si>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</si>
  <si>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</si>
  <si>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</si>
  <si>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</si>
  <si>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</si>
  <si>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</si>
  <si>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</si>
  <si>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</si>
  <si>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</si>
  <si>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</si>
  <si>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</si>
  <si>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</si>
  <si>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</si>
  <si>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</si>
  <si>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</si>
  <si>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</si>
  <si>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</si>
  <si>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</si>
  <si>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</si>
  <si>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</si>
  <si>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</si>
  <si>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</si>
  <si>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</si>
  <si>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</si>
  <si>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</si>
  <si>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</si>
  <si>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</si>
  <si>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</si>
  <si>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</si>
  <si>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</si>
  <si>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</si>
  <si>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</si>
  <si>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</si>
  <si>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</si>
  <si>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</si>
  <si>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</si>
  <si>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</si>
  <si>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</si>
  <si>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</si>
  <si>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</si>
  <si>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</si>
  <si>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</si>
  <si>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</si>
  <si>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</si>
  <si>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</si>
  <si>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</si>
  <si>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</si>
  <si>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</si>
  <si>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</si>
  <si>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</si>
  <si>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</si>
  <si>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</si>
  <si>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</si>
  <si>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</si>
  <si>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</si>
  <si>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</si>
  <si>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</si>
  <si>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</si>
  <si>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</si>
  <si>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</si>
  <si>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</si>
  <si>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</si>
  <si>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</si>
  <si>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</si>
  <si>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</si>
  <si>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</si>
  <si>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</si>
  <si>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</si>
  <si>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</si>
  <si>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</si>
  <si>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</si>
  <si>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</si>
  <si>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</si>
  <si>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</si>
  <si>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</si>
  <si>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</si>
  <si>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</si>
  <si>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</si>
  <si>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</si>
  <si>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</si>
  <si>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</si>
  <si>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</si>
  <si>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</si>
  <si>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</si>
  <si>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</si>
  <si>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</si>
  <si>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</si>
  <si>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</si>
  <si>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</si>
  <si>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</si>
  <si>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</si>
  <si>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</si>
  <si>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</si>
  <si>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</si>
  <si>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</si>
  <si>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</si>
  <si>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</si>
  <si>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</si>
  <si>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</si>
  <si>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</si>
  <si>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</si>
  <si>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</si>
  <si>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</si>
  <si>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</si>
  <si>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</si>
  <si>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</si>
  <si>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</si>
  <si>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</si>
  <si>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</si>
  <si>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</si>
  <si>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</si>
  <si>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</si>
  <si>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</si>
  <si>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</si>
  <si>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</si>
  <si>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</si>
  <si>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</si>
  <si>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</si>
  <si>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</si>
  <si>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</si>
  <si>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</si>
  <si>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</si>
  <si>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</si>
  <si>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</si>
  <si>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</si>
  <si>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</si>
  <si>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</si>
  <si>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</si>
  <si>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</si>
  <si>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</si>
  <si>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</si>
  <si>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</si>
  <si>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</si>
  <si>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</si>
  <si>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</si>
  <si>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</si>
  <si>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</si>
  <si>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</si>
  <si>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</si>
  <si>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</si>
  <si>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</si>
  <si>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</si>
  <si>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</si>
  <si>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</si>
  <si>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</si>
  <si>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</si>
  <si>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</si>
  <si>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</si>
  <si>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</si>
  <si>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</si>
  <si>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</si>
  <si>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</si>
  <si>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</si>
  <si>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</si>
  <si>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</si>
  <si>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</si>
  <si>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</si>
  <si>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</si>
  <si>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</si>
  <si>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</si>
  <si>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</si>
  <si>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</si>
  <si>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</si>
  <si>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</si>
  <si>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</si>
  <si>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</si>
  <si>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</si>
  <si>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</si>
  <si>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</si>
  <si>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</si>
  <si>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</si>
  <si>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</si>
  <si>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</si>
  <si>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</si>
  <si>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</si>
  <si>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</si>
  <si>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</si>
  <si>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</si>
  <si>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</si>
  <si>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</si>
  <si>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</si>
  <si>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</si>
  <si>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</si>
  <si>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</si>
  <si>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</si>
  <si>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</si>
  <si>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</si>
  <si>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</si>
  <si>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</si>
  <si>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</si>
  <si>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</si>
  <si>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</si>
  <si>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</si>
  <si>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</si>
  <si>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</si>
  <si>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</si>
  <si>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</si>
  <si>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</si>
  <si>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</si>
  <si>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</si>
  <si>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</si>
  <si>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</si>
  <si>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</si>
  <si>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</si>
  <si>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</si>
  <si>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</si>
  <si>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</si>
  <si>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</si>
  <si>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</si>
  <si>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</si>
  <si>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</si>
  <si>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</si>
  <si>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</si>
  <si>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</si>
  <si>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</si>
  <si>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</si>
  <si>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</si>
  <si>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</si>
  <si>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</si>
  <si>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</si>
  <si>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</si>
  <si>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</si>
  <si>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</si>
  <si>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</si>
  <si>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</si>
  <si>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</si>
  <si>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</si>
  <si>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</si>
  <si>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</si>
  <si>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</si>
  <si>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</si>
  <si>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</si>
  <si>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</si>
  <si>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</si>
  <si>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</si>
  <si>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</si>
  <si>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</si>
  <si>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</si>
  <si>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</si>
  <si>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</si>
  <si>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</si>
  <si>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</si>
  <si>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</si>
  <si>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</si>
  <si>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</si>
  <si>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</si>
  <si>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</si>
  <si>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</si>
  <si>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</si>
  <si>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</si>
  <si>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</si>
  <si>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</si>
  <si>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</si>
  <si>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</si>
  <si>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</si>
  <si>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</si>
  <si>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</si>
  <si>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</si>
  <si>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</si>
  <si>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</si>
  <si>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</si>
  <si>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</si>
  <si>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</si>
  <si>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</si>
  <si>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</si>
  <si>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</si>
  <si>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</si>
  <si>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</si>
  <si>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</si>
  <si>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</si>
  <si>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</si>
  <si>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</si>
  <si>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</si>
  <si>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</si>
  <si>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</si>
  <si>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</si>
  <si>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</si>
  <si>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</si>
  <si>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</si>
  <si>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</si>
  <si>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</si>
  <si>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</si>
  <si>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</si>
  <si>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</si>
  <si>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</si>
  <si>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</si>
  <si>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</si>
  <si>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</si>
  <si>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</si>
  <si>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</si>
  <si>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</si>
  <si>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</si>
  <si>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</si>
  <si>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</si>
  <si>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</si>
  <si>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</si>
  <si>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</si>
  <si>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</si>
  <si>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</si>
  <si>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</si>
  <si>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</si>
  <si>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</si>
  <si>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</si>
  <si>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</si>
  <si>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</si>
  <si>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</si>
  <si>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</si>
  <si>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</si>
  <si>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</si>
  <si>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</si>
  <si>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</si>
  <si>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</si>
  <si>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</si>
  <si>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</si>
  <si>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</si>
  <si>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</si>
  <si>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</si>
  <si>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</si>
  <si>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</si>
  <si>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</si>
  <si>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</si>
  <si>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</si>
  <si>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</si>
  <si>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</si>
  <si>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</si>
  <si>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</si>
  <si>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</si>
  <si>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</si>
  <si>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</si>
  <si>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</si>
  <si>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</si>
  <si>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</si>
  <si>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</si>
  <si>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</si>
  <si>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</si>
  <si>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</si>
  <si>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</si>
  <si>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</si>
  <si>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</si>
  <si>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</si>
  <si>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</si>
  <si>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</si>
  <si>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</si>
  <si>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</si>
  <si>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</si>
  <si>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</si>
  <si>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</si>
  <si>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</si>
  <si>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</si>
  <si>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</si>
  <si>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</si>
  <si>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</si>
  <si>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</si>
  <si>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</si>
  <si>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</si>
  <si>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</si>
  <si>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</si>
  <si>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</si>
  <si>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</si>
  <si>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</si>
  <si>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</si>
  <si>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</si>
  <si>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</si>
  <si>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</si>
  <si>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</si>
  <si>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</si>
  <si>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</si>
  <si>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</si>
  <si>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</si>
  <si>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</si>
  <si>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</si>
  <si>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</si>
  <si>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</si>
  <si>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</si>
  <si>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</si>
  <si>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</si>
  <si>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</si>
  <si>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</si>
  <si>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</si>
  <si>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</si>
  <si>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</si>
  <si>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</si>
  <si>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</si>
  <si>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</si>
  <si>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</si>
  <si>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</si>
  <si>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</si>
  <si>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</si>
  <si>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</si>
  <si>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</si>
  <si>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</si>
  <si>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</si>
  <si>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</si>
  <si>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</si>
  <si>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</si>
  <si>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</si>
  <si>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</si>
  <si>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</si>
  <si>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</si>
  <si>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</si>
  <si>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</si>
  <si>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</si>
  <si>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</si>
  <si>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</si>
  <si>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</si>
  <si>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</si>
  <si>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</si>
  <si>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</si>
  <si>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</si>
  <si>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</si>
  <si>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</si>
  <si>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</si>
  <si>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</si>
  <si>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</si>
  <si>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</si>
  <si>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</si>
  <si>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</si>
  <si>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</si>
  <si>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</si>
  <si>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</si>
  <si>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</si>
  <si>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</si>
  <si>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</si>
  <si>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</si>
  <si>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</si>
  <si>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</si>
  <si>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</si>
  <si>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</si>
  <si>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</si>
  <si>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</si>
  <si>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</si>
  <si>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</si>
  <si>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</si>
  <si>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</si>
  <si>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</si>
  <si>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</si>
  <si>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</si>
  <si>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</si>
  <si>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</si>
  <si>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</si>
  <si>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</si>
  <si>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</si>
  <si>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</si>
  <si>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</si>
  <si>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</si>
  <si>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</si>
  <si>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</si>
  <si>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</si>
  <si>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</si>
  <si>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</si>
  <si>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</si>
  <si>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</si>
  <si>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</si>
  <si>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</si>
  <si>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</si>
  <si>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</si>
  <si>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</si>
  <si>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</si>
  <si>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</si>
  <si>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</si>
  <si>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</si>
  <si>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</si>
  <si>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</si>
  <si>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</si>
  <si>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</si>
  <si>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</si>
  <si>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</si>
  <si>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</si>
  <si>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</si>
  <si>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</si>
  <si>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</si>
  <si>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</si>
  <si>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</si>
  <si>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</si>
  <si>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</si>
  <si>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</si>
  <si>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</si>
  <si>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</si>
  <si>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</si>
  <si>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</si>
  <si>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</si>
  <si>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</si>
  <si>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</si>
  <si>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</si>
  <si>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</si>
  <si>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</si>
  <si>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</si>
  <si>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</si>
  <si>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</si>
  <si>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</si>
  <si>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</si>
  <si>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</si>
  <si>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</si>
  <si>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</si>
  <si>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</si>
  <si>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</si>
  <si>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</si>
  <si>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</si>
  <si>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</si>
  <si>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</si>
  <si>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</si>
  <si>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</si>
  <si>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</si>
  <si>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</si>
  <si>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</si>
  <si>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</si>
  <si>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</si>
  <si>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</si>
  <si>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</si>
  <si>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</si>
  <si>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</si>
  <si>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</si>
  <si>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</si>
  <si>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</si>
  <si>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</si>
  <si>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</si>
  <si>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</si>
  <si>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</si>
  <si>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</si>
  <si>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</si>
  <si>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</si>
  <si>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</si>
  <si>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</si>
  <si>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</si>
  <si>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</si>
  <si>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</si>
  <si>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</si>
  <si>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</si>
  <si>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</si>
  <si>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</si>
  <si>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</si>
  <si>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</si>
  <si>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</si>
  <si>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</si>
  <si>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</si>
  <si>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</si>
  <si>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</si>
  <si>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</si>
  <si>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</si>
  <si>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</si>
  <si>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</si>
  <si>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</si>
  <si>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</si>
  <si>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</si>
  <si>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</si>
  <si>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</si>
  <si>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</si>
  <si>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</si>
  <si>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</si>
  <si>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</si>
  <si>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</si>
  <si>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</si>
  <si>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</si>
  <si>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</si>
  <si>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</si>
  <si>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</si>
  <si>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</si>
  <si>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</si>
  <si>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</si>
  <si>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</si>
  <si>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</si>
  <si>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</si>
  <si>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</si>
  <si>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</si>
  <si>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</si>
  <si>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</si>
  <si>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</si>
  <si>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</si>
  <si>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</si>
  <si>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</si>
  <si>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</si>
  <si>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</si>
  <si>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</si>
  <si>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</si>
  <si>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</si>
  <si>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</si>
  <si>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</si>
  <si>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</si>
  <si>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</si>
  <si>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</si>
  <si>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</si>
  <si>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</si>
  <si>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</si>
  <si>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</si>
  <si>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</si>
  <si>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</si>
  <si>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</si>
  <si>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</si>
  <si>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</si>
  <si>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</si>
  <si>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</si>
  <si>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</si>
  <si>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</si>
  <si>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</si>
  <si>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</si>
  <si>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</si>
  <si>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</si>
  <si>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</si>
  <si>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</si>
  <si>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</si>
  <si>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</si>
  <si>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</si>
  <si>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</si>
  <si>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</si>
  <si>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</si>
  <si>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</si>
  <si>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</si>
  <si>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</si>
  <si>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</si>
  <si>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</si>
  <si>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</si>
  <si>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</si>
  <si>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</si>
  <si>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</si>
  <si>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</si>
  <si>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</si>
  <si>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</si>
  <si>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</si>
  <si>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</si>
  <si>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</si>
  <si>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</si>
  <si>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</si>
  <si>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</si>
  <si>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</si>
  <si>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</si>
  <si>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</si>
  <si>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</si>
  <si>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</si>
  <si>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</si>
  <si>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</si>
  <si>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</si>
  <si>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</si>
  <si>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</si>
  <si>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</si>
  <si>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</si>
  <si>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</si>
  <si>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</si>
  <si>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</si>
  <si>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</si>
  <si>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</si>
  <si>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</si>
  <si>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</si>
  <si>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</si>
  <si>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</si>
  <si>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</si>
  <si>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</si>
  <si>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</si>
  <si>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</si>
  <si>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</si>
  <si>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</si>
  <si>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</si>
  <si>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</si>
  <si>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</si>
  <si>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</si>
  <si>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</si>
  <si>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</si>
  <si>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</si>
  <si>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</si>
  <si>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</si>
  <si>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</si>
  <si>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</si>
  <si>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</si>
  <si>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</si>
  <si>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</si>
  <si>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</si>
  <si>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</si>
  <si>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</si>
  <si>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</si>
  <si>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</si>
  <si>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</si>
  <si>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</si>
  <si>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</si>
  <si>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</si>
  <si>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</si>
  <si>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</si>
  <si>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</si>
  <si>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</si>
  <si>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</si>
  <si>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</si>
  <si>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</si>
  <si>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</si>
  <si>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</si>
  <si>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</si>
  <si>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</si>
  <si>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</si>
  <si>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</si>
  <si>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</si>
  <si>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</si>
  <si>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</si>
  <si>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</si>
  <si>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</si>
  <si>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</si>
  <si>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</si>
  <si>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</si>
  <si>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</si>
  <si>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</si>
  <si>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</si>
  <si>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</si>
  <si>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</si>
  <si>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</si>
  <si>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</si>
  <si>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</si>
  <si>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</si>
  <si>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</si>
  <si>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</si>
  <si>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</si>
  <si>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</si>
  <si>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</si>
  <si>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</si>
  <si>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</si>
  <si>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</si>
  <si>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</si>
  <si>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</si>
  <si>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</si>
  <si>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</si>
  <si>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</si>
  <si>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</si>
  <si>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</si>
  <si>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</si>
  <si>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</si>
  <si>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</si>
  <si>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</si>
  <si>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</si>
  <si>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</si>
  <si>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</si>
  <si>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</si>
  <si>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</si>
  <si>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</si>
  <si>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</si>
  <si>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</si>
  <si>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</si>
  <si>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</si>
  <si>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</si>
  <si>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</si>
  <si>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</si>
  <si>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</si>
  <si>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</si>
  <si>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</si>
  <si>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</si>
  <si>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</si>
  <si>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</si>
  <si>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</si>
  <si>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</si>
  <si>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</si>
  <si>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</si>
  <si>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</si>
  <si>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</si>
  <si>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</si>
  <si>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</si>
  <si>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</si>
  <si>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</si>
  <si>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</si>
  <si>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</si>
  <si>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</si>
  <si>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</si>
  <si>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</si>
  <si>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</si>
  <si>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</si>
  <si>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</si>
  <si>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</si>
  <si>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</si>
  <si>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</si>
  <si>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</si>
  <si>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</si>
  <si>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</si>
  <si>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</si>
  <si>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</si>
  <si>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</si>
  <si>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</si>
  <si>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</si>
  <si>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</si>
  <si>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</si>
  <si>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</si>
  <si>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</si>
  <si>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</si>
  <si>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</si>
  <si>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</si>
  <si>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</si>
  <si>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</si>
  <si>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</si>
  <si>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</si>
  <si>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</si>
  <si>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</si>
  <si>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</si>
  <si>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</si>
  <si>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</si>
  <si>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</si>
  <si>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</si>
  <si>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</si>
  <si>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</si>
  <si>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</si>
  <si>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</si>
  <si>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</si>
  <si>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</si>
  <si>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</si>
  <si>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</si>
  <si>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</si>
  <si>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</si>
  <si>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</si>
  <si>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</si>
  <si>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</si>
  <si>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</si>
  <si>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</si>
  <si>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</si>
  <si>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</si>
  <si>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</si>
  <si>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</si>
  <si>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</si>
  <si>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</si>
  <si>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</si>
  <si>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</si>
  <si>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</si>
  <si>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</si>
  <si>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</si>
  <si>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</si>
  <si>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</si>
  <si>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</si>
  <si>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</si>
  <si>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</si>
  <si>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</si>
  <si>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</si>
  <si>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</si>
  <si>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</si>
  <si>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</si>
  <si>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</si>
  <si>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</si>
  <si>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</si>
  <si>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</si>
  <si>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</si>
  <si>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</si>
  <si>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</si>
  <si>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</si>
  <si>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</si>
  <si>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</si>
  <si>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</si>
  <si>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</si>
  <si>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</si>
  <si>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</si>
  <si>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</si>
  <si>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</si>
  <si>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</si>
  <si>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</si>
  <si>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</si>
  <si>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</si>
  <si>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</si>
  <si>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</si>
  <si>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</si>
  <si>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</si>
  <si>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</si>
  <si>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</si>
  <si>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</si>
  <si>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</si>
  <si>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</si>
  <si>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</si>
  <si>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</si>
  <si>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</si>
  <si>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</si>
  <si>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</si>
  <si>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</si>
  <si>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</si>
  <si>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</si>
  <si>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</si>
  <si>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</si>
  <si>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</si>
  <si>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</si>
  <si>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</si>
  <si>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</si>
  <si>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</si>
  <si>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</si>
  <si>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</si>
  <si>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</si>
  <si>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</si>
  <si>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</si>
  <si>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</si>
  <si>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</si>
  <si>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</si>
  <si>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</si>
  <si>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</si>
  <si>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</si>
  <si>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</si>
  <si>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</si>
  <si>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</si>
  <si>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</si>
  <si>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</si>
  <si>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</si>
  <si>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</si>
  <si>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</si>
  <si>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</si>
  <si>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</si>
  <si>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</si>
  <si>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</si>
  <si>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</si>
  <si>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</si>
  <si>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</si>
  <si>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</si>
  <si>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</si>
  <si>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</si>
  <si>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</si>
  <si>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</si>
  <si>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</si>
  <si>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</si>
  <si>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</si>
  <si>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</si>
  <si>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</si>
  <si>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</si>
  <si>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</si>
  <si>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</si>
  <si>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</si>
  <si>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</si>
  <si>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</si>
  <si>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</si>
  <si>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</si>
  <si>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</si>
  <si>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</si>
  <si>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</si>
  <si>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</si>
  <si>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</si>
  <si>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</si>
  <si>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</si>
  <si>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</si>
  <si>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</si>
  <si>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</si>
  <si>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</si>
  <si>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</si>
  <si>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</si>
  <si>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</si>
  <si>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</si>
  <si>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</si>
  <si>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</si>
  <si>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</si>
  <si>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</si>
  <si>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</si>
  <si>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</si>
  <si>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</si>
  <si>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</si>
  <si>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</si>
  <si>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</si>
  <si>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</si>
  <si>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</si>
  <si>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</si>
  <si>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</si>
  <si>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</si>
  <si>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</si>
  <si>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</si>
  <si>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</si>
  <si>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</si>
  <si>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</si>
  <si>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</si>
  <si>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</si>
  <si>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</si>
  <si>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</si>
  <si>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</si>
  <si>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</si>
  <si>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</si>
  <si>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</si>
  <si>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</si>
  <si>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</si>
  <si>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</si>
  <si>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</si>
  <si>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</si>
  <si>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</si>
  <si>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</si>
  <si>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</si>
  <si>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</si>
  <si>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</si>
  <si>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</si>
  <si>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</si>
  <si>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</si>
  <si>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</si>
  <si>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</si>
  <si>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</si>
  <si>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</si>
  <si>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</si>
  <si>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</si>
  <si>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</si>
  <si>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</si>
  <si>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</si>
  <si>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</si>
  <si>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</si>
  <si>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</si>
  <si>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</si>
  <si>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</si>
  <si>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</si>
  <si>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</si>
  <si>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</si>
  <si>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</si>
  <si>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</si>
  <si>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</si>
  <si>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</si>
  <si>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</si>
  <si>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</si>
  <si>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</si>
  <si>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</si>
  <si>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</si>
  <si>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</si>
  <si>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</si>
  <si>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</si>
  <si>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</si>
  <si>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</si>
  <si>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</si>
  <si>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</si>
  <si>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</si>
  <si>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</si>
  <si>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</si>
  <si>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</si>
  <si>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</si>
  <si>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</si>
  <si>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</si>
  <si>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</si>
  <si>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</si>
  <si>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</si>
  <si>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</si>
  <si>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</si>
  <si>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</si>
  <si>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</si>
  <si>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</si>
  <si>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</si>
  <si>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</si>
  <si>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</si>
  <si>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</si>
  <si>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</si>
  <si>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</si>
  <si>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</si>
  <si>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</si>
  <si>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</si>
  <si>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</si>
  <si>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</si>
  <si>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</si>
  <si>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</si>
  <si>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</si>
  <si>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</si>
  <si>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</si>
  <si>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</si>
  <si>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</si>
  <si>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</si>
  <si>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</si>
  <si>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</si>
  <si>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</si>
  <si>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</si>
  <si>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</si>
  <si>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</si>
  <si>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</si>
  <si>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</si>
  <si>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</si>
  <si>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</si>
  <si>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</si>
  <si>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</si>
  <si>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</si>
  <si>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</si>
  <si>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</si>
  <si>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</si>
  <si>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</si>
  <si>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</si>
  <si>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</si>
  <si>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</si>
  <si>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</si>
  <si>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</si>
  <si>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</si>
  <si>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</si>
  <si>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</si>
  <si>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</si>
  <si>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</si>
  <si>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</si>
  <si>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</si>
  <si>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</si>
  <si>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</si>
  <si>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</si>
  <si>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</si>
  <si>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</si>
  <si>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</si>
  <si>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</si>
  <si>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</si>
  <si>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</si>
  <si>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</si>
  <si>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</si>
  <si>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</si>
  <si>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</si>
  <si>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</si>
  <si>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</si>
  <si>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</si>
  <si>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</si>
  <si>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</si>
  <si>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</si>
  <si>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</si>
  <si>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</si>
  <si>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</si>
  <si>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</si>
  <si>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</si>
  <si>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</si>
  <si>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</si>
  <si>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</si>
  <si>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</si>
  <si>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</si>
  <si>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</si>
  <si>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</si>
  <si>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</si>
  <si>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</si>
  <si>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</si>
  <si>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</si>
  <si>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</si>
  <si>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</si>
  <si>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</si>
  <si>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</si>
  <si>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</si>
  <si>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</si>
  <si>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</si>
  <si>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</si>
  <si>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</si>
  <si>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</si>
  <si>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</si>
  <si>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</si>
  <si>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</si>
  <si>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</si>
  <si>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</si>
  <si>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</si>
  <si>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</si>
  <si>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</si>
  <si>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</si>
  <si>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</si>
  <si>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</si>
  <si>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</si>
  <si>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</si>
  <si>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</si>
  <si>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</si>
  <si>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</si>
  <si>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</si>
  <si>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</si>
  <si>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</si>
  <si>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</si>
  <si>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</si>
  <si>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</si>
  <si>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</si>
  <si>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</si>
  <si>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</si>
  <si>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</si>
  <si>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</si>
  <si>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</si>
  <si>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</si>
  <si>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</si>
  <si>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</si>
  <si>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</si>
  <si>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</si>
  <si>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</si>
  <si>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</si>
  <si>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</si>
  <si>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</si>
  <si>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</si>
  <si>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</si>
  <si>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</si>
  <si>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</si>
  <si>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</si>
  <si>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</si>
  <si>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</si>
  <si>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</si>
  <si>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</si>
  <si>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</si>
  <si>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</si>
  <si>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</si>
  <si>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</si>
  <si>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</si>
  <si>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</si>
  <si>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</si>
  <si>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</si>
  <si>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</si>
  <si>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</si>
  <si>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</si>
  <si>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</si>
  <si>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</si>
  <si>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</si>
  <si>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</si>
  <si>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</si>
  <si>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</si>
  <si>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</si>
  <si>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</si>
  <si>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</si>
  <si>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</si>
  <si>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</si>
  <si>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</si>
  <si>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</si>
  <si>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</si>
  <si>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</si>
  <si>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</si>
  <si>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</si>
  <si>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</si>
  <si>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</si>
  <si>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</si>
  <si>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</si>
  <si>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</si>
  <si>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</si>
  <si>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</si>
  <si>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</si>
  <si>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</si>
  <si>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</si>
  <si>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</si>
  <si>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</si>
  <si>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</si>
  <si>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</si>
  <si>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</si>
  <si>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</si>
  <si>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</si>
  <si>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</si>
  <si>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</si>
  <si>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</si>
  <si>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</si>
  <si>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</si>
  <si>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</si>
  <si>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</si>
  <si>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</si>
  <si>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</si>
  <si>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</si>
  <si>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</si>
  <si>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</si>
  <si>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</si>
  <si>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</si>
  <si>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</si>
  <si>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</si>
  <si>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</si>
  <si>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</si>
  <si>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</si>
  <si>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</si>
  <si>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</si>
  <si>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</si>
  <si>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</si>
  <si>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</si>
  <si>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</si>
  <si>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</si>
  <si>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</si>
  <si>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</si>
  <si>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</si>
  <si>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</si>
  <si>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</si>
  <si>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</si>
  <si>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</si>
  <si>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</si>
  <si>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</si>
  <si>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</si>
  <si>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</si>
  <si>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</si>
  <si>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</si>
  <si>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</si>
  <si>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</si>
  <si>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</si>
  <si>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</si>
  <si>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</si>
  <si>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</si>
  <si>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</si>
  <si>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</si>
  <si>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</si>
  <si>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</si>
  <si>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</si>
  <si>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</si>
  <si>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</si>
  <si>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</si>
  <si>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</si>
  <si>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</si>
  <si>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</si>
  <si>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</si>
  <si>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</si>
  <si>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</si>
  <si>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</si>
  <si>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</si>
  <si>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</si>
  <si>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</si>
  <si>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</si>
  <si>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</si>
  <si>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</si>
  <si>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</si>
  <si>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</si>
  <si>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</si>
  <si>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</si>
  <si>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</si>
  <si>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</si>
  <si>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</si>
  <si>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</si>
  <si>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</si>
  <si>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</si>
  <si>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</si>
  <si>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</si>
  <si>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</si>
  <si>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</si>
  <si>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</si>
  <si>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</si>
  <si>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</si>
  <si>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</si>
  <si>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</si>
  <si>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</si>
  <si>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</si>
  <si>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</si>
  <si>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</si>
  <si>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</si>
  <si>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</si>
  <si>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</si>
  <si>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</si>
  <si>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</si>
  <si>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</si>
  <si>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</si>
  <si>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</si>
  <si>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</si>
  <si>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</si>
  <si>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</si>
  <si>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</si>
  <si>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</si>
  <si>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</si>
  <si>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</si>
  <si>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</si>
  <si>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</si>
  <si>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</si>
  <si>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</si>
  <si>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</si>
  <si>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</si>
  <si>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</si>
  <si>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</si>
  <si>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</si>
  <si>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</si>
  <si>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</si>
  <si>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</si>
  <si>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</si>
  <si>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</si>
  <si>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</si>
  <si>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</si>
  <si>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</si>
  <si>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</si>
  <si>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</si>
  <si>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</si>
  <si>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</si>
  <si>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</si>
  <si>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</si>
  <si>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</si>
  <si>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</si>
  <si>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</si>
  <si>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</si>
  <si>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</si>
  <si>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</si>
  <si>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</si>
  <si>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</si>
  <si>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</si>
  <si>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</si>
  <si>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</si>
  <si>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</si>
  <si>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</si>
  <si>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</si>
  <si>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</si>
  <si>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</si>
  <si>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</si>
  <si>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</si>
  <si>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</si>
  <si>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</si>
  <si>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</si>
  <si>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</si>
  <si>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</si>
  <si>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</si>
  <si>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</si>
  <si>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</si>
  <si>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</si>
  <si>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</si>
  <si>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</si>
  <si>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</si>
  <si>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</si>
  <si>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</si>
  <si>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</si>
  <si>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</si>
  <si>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</si>
  <si>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</si>
  <si>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</si>
  <si>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</si>
  <si>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</si>
  <si>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</si>
  <si>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</si>
  <si>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</si>
  <si>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</si>
  <si>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</si>
  <si>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</si>
  <si>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</si>
  <si>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</si>
  <si>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</si>
  <si>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</si>
  <si>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</si>
  <si>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</si>
  <si>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</si>
  <si>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</si>
  <si>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</si>
  <si>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</si>
  <si>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</si>
  <si>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</si>
  <si>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</si>
  <si>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</si>
  <si>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</si>
  <si>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</si>
  <si>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</si>
  <si>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</si>
  <si>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</si>
  <si>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</si>
  <si>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</si>
  <si>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</si>
  <si>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</si>
  <si>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</si>
  <si>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</si>
  <si>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</si>
  <si>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</si>
  <si>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</si>
  <si>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</si>
  <si>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</si>
  <si>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</si>
  <si>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</si>
  <si>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</si>
  <si>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</si>
  <si>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</si>
  <si>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</si>
  <si>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</si>
  <si>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</si>
  <si>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</si>
  <si>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</si>
  <si>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</si>
  <si>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</si>
  <si>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</si>
  <si>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</si>
  <si>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</si>
  <si>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</si>
  <si>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</si>
  <si>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</si>
  <si>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</si>
  <si>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</si>
  <si>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</si>
  <si>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</si>
  <si>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</si>
  <si>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</si>
  <si>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</si>
  <si>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</si>
  <si>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</si>
  <si>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</si>
  <si>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</si>
  <si>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</si>
  <si>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</si>
  <si>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</si>
  <si>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</si>
  <si>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</si>
  <si>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</si>
  <si>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</si>
  <si>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</si>
  <si>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</si>
  <si>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</si>
  <si>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</si>
  <si>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</si>
  <si>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</si>
  <si>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</si>
  <si>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</si>
  <si>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</si>
  <si>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</si>
  <si>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</si>
  <si>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</si>
  <si>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</si>
  <si>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</si>
  <si>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</si>
  <si>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</si>
  <si>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</si>
  <si>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</si>
  <si>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</si>
  <si>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</si>
  <si>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</si>
  <si>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</si>
  <si>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</si>
  <si>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</si>
  <si>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</si>
  <si>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</si>
  <si>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</si>
  <si>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</si>
  <si>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</si>
  <si>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</si>
  <si>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</si>
  <si>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</si>
  <si>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</si>
  <si>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</si>
  <si>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</si>
  <si>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</si>
  <si>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</si>
  <si>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</si>
  <si>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</si>
  <si>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</si>
  <si>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</si>
  <si>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</si>
  <si>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</si>
  <si>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</si>
  <si>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</si>
  <si>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</si>
  <si>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</si>
  <si>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</si>
  <si>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</si>
  <si>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</si>
  <si>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</si>
  <si>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</si>
  <si>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</si>
  <si>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</si>
  <si>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</si>
  <si>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</si>
  <si>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</si>
  <si>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</si>
  <si>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</si>
  <si>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</si>
  <si>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</si>
  <si>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</si>
  <si>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</si>
  <si>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</si>
  <si>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</si>
  <si>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</si>
  <si>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</si>
  <si>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</si>
  <si>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</si>
  <si>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</si>
  <si>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</si>
  <si>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</si>
  <si>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</si>
  <si>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</si>
  <si>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</si>
  <si>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</si>
  <si>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</si>
  <si>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</si>
  <si>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</si>
  <si>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</si>
  <si>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</si>
  <si>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</si>
  <si>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</si>
  <si>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</si>
  <si>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</si>
  <si>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</si>
  <si>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</si>
  <si>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</si>
  <si>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</si>
  <si>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</si>
  <si>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</si>
  <si>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</si>
  <si>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</si>
  <si>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</si>
  <si>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</si>
  <si>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</si>
  <si>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</si>
  <si>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</si>
  <si>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</si>
  <si>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</si>
  <si>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</si>
  <si>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</si>
  <si>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</si>
  <si>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</si>
  <si>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</si>
  <si>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</si>
  <si>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</si>
  <si>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</si>
  <si>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</si>
  <si>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</si>
  <si>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</si>
  <si>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</si>
  <si>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</si>
  <si>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</si>
  <si>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</si>
  <si>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</si>
  <si>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</si>
  <si>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</si>
  <si>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</si>
  <si>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</si>
  <si>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</si>
  <si>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</si>
  <si>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</si>
  <si>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</si>
  <si>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</si>
  <si>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</si>
  <si>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</si>
  <si>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</si>
  <si>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</si>
  <si>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</si>
  <si>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</si>
  <si>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</si>
  <si>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</si>
  <si>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</si>
  <si>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</si>
  <si>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</si>
  <si>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</si>
  <si>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</si>
  <si>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</si>
  <si>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</si>
  <si>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</si>
  <si>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</si>
  <si>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</si>
  <si>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</si>
  <si>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</si>
  <si>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</si>
  <si>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</si>
  <si>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</si>
  <si>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</si>
  <si>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</si>
  <si>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</si>
  <si>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</si>
  <si>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</si>
  <si>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</si>
  <si>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</si>
  <si>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</si>
  <si>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</si>
  <si>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</si>
  <si>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</si>
  <si>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</si>
  <si>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</si>
  <si>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</si>
  <si>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</si>
  <si>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</si>
  <si>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</si>
  <si>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</si>
  <si>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</si>
  <si>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</si>
  <si>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</si>
  <si>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</si>
  <si>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</si>
  <si>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</si>
  <si>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</si>
  <si>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</si>
  <si>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</si>
  <si>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</si>
  <si>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</si>
  <si>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</si>
  <si>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</si>
  <si>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</si>
  <si>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</si>
  <si>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</si>
  <si>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</si>
  <si>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</si>
  <si>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</si>
  <si>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</si>
  <si>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</si>
  <si>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</si>
  <si>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</si>
  <si>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</si>
  <si>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</si>
  <si>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</si>
  <si>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</si>
  <si>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</si>
  <si>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</si>
  <si>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</si>
  <si>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</si>
  <si>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</si>
  <si>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</si>
  <si>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</si>
  <si>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</si>
  <si>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</si>
  <si>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</si>
  <si>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</si>
  <si>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</si>
  <si>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</si>
  <si>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</si>
  <si>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</si>
  <si>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</si>
  <si>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</si>
  <si>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</si>
  <si>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</si>
  <si>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</si>
  <si>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</si>
  <si>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</si>
  <si>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</si>
  <si>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</si>
  <si>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</si>
  <si>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</si>
  <si>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</si>
  <si>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</si>
  <si>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</si>
  <si>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</si>
  <si>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</si>
  <si>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</si>
  <si>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</si>
  <si>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</si>
  <si>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</si>
  <si>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</si>
  <si>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</si>
  <si>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</si>
  <si>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</si>
  <si>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</si>
  <si>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</si>
  <si>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</si>
  <si>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</si>
  <si>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</si>
  <si>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</si>
  <si>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</si>
  <si>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</si>
  <si>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</si>
  <si>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</si>
  <si>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</si>
  <si>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</si>
  <si>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</si>
  <si>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</si>
  <si>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</si>
  <si>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</si>
  <si>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</si>
  <si>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</si>
  <si>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</si>
  <si>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</si>
  <si>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</si>
  <si>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</si>
  <si>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</si>
  <si>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</si>
  <si>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</si>
  <si>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</si>
  <si>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</si>
  <si>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</si>
  <si>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</si>
  <si>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</si>
  <si>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</si>
  <si>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</si>
  <si>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</si>
  <si>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</si>
  <si>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</si>
  <si>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</si>
  <si>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</si>
  <si>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</si>
  <si>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</si>
  <si>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</si>
  <si>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</si>
  <si>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</si>
  <si>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</si>
  <si>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</si>
  <si>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</si>
  <si>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</si>
  <si>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</si>
  <si>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</si>
  <si>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</si>
  <si>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</si>
  <si>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</si>
  <si>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</si>
  <si>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</si>
  <si>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</si>
  <si>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</si>
  <si>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</si>
  <si>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</si>
  <si>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</si>
  <si>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</si>
  <si>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</si>
  <si>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</si>
  <si>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</si>
  <si>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</si>
  <si>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</si>
  <si>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</si>
  <si>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</si>
  <si>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</si>
  <si>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</si>
  <si>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</si>
  <si>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</si>
  <si>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</si>
  <si>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</si>
  <si>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</si>
  <si>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</si>
  <si>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</si>
  <si>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</si>
  <si>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</si>
  <si>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</si>
  <si>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</si>
  <si>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</si>
  <si>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</si>
  <si>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</si>
  <si>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</si>
  <si>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</si>
  <si>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</si>
  <si>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</si>
  <si>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</si>
  <si>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</si>
  <si>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</si>
  <si>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</si>
  <si>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</si>
  <si>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</si>
  <si>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</si>
  <si>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</si>
  <si>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</si>
  <si>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</si>
  <si>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</si>
  <si>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</si>
  <si>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</si>
  <si>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</si>
  <si>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</si>
  <si>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</si>
  <si>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</si>
  <si>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</si>
  <si>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</si>
  <si>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</si>
  <si>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</si>
  <si>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</si>
  <si>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</si>
  <si>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</si>
  <si>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</si>
  <si>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</si>
  <si>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</si>
  <si>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</si>
  <si>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</si>
  <si>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</si>
  <si>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</si>
  <si>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</si>
  <si>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</si>
  <si>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</si>
  <si>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</si>
  <si>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</si>
  <si>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</si>
  <si>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</si>
  <si>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</si>
  <si>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</si>
  <si>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</si>
  <si>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</si>
  <si>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</si>
  <si>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</si>
  <si>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</si>
  <si>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</si>
  <si>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</si>
  <si>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</si>
  <si>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</si>
  <si>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</si>
  <si>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</si>
  <si>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</si>
  <si>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</si>
  <si>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</si>
  <si>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</si>
  <si>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</si>
  <si>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</si>
  <si>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</si>
  <si>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</si>
  <si>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</si>
  <si>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</si>
  <si>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</si>
  <si>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</si>
  <si>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</si>
  <si>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</si>
  <si>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</si>
  <si>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</si>
  <si>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</si>
  <si>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</si>
  <si>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</si>
  <si>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</si>
  <si>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</si>
  <si>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</si>
  <si>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</si>
  <si>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</si>
  <si>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</si>
  <si>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</si>
  <si>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</si>
  <si>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</si>
  <si>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</si>
  <si>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</si>
  <si>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</si>
  <si>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</si>
  <si>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</si>
  <si>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</si>
  <si>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</si>
  <si>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</si>
  <si>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</si>
  <si>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</si>
  <si>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</si>
  <si>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</si>
  <si>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</si>
  <si>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</si>
  <si>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</si>
  <si>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</si>
  <si>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</si>
  <si>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</si>
  <si>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</si>
  <si>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</si>
  <si>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</si>
  <si>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</si>
  <si>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</si>
  <si>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</si>
  <si>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</si>
  <si>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</si>
  <si>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</si>
  <si>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</si>
  <si>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</si>
  <si>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</si>
  <si>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</si>
  <si>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</si>
  <si>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</si>
  <si>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</si>
  <si>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</si>
  <si>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</si>
  <si>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</si>
  <si>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</si>
  <si>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</si>
  <si>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</si>
  <si>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</si>
  <si>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</si>
  <si>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</si>
  <si>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</si>
  <si>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</si>
  <si>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</si>
  <si>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</si>
  <si>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</si>
  <si>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</si>
  <si>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</si>
  <si>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</si>
  <si>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</si>
  <si>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</si>
  <si>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</si>
  <si>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</si>
  <si>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</si>
  <si>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</si>
  <si>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</si>
  <si>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</si>
  <si>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</si>
  <si>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</si>
  <si>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</si>
  <si>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</si>
  <si>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</si>
  <si>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</si>
  <si>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</si>
  <si>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</si>
  <si>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</si>
  <si>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</si>
  <si>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</si>
  <si>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</si>
  <si>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</si>
  <si>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</si>
  <si>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</si>
  <si>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</si>
  <si>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</si>
  <si>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</si>
  <si>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</si>
  <si>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</si>
  <si>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</si>
  <si>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</si>
  <si>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</si>
  <si>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</si>
  <si>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</si>
  <si>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</si>
  <si>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</si>
  <si>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</si>
  <si>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</si>
  <si>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</si>
  <si>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</si>
  <si>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</si>
  <si>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</si>
  <si>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</si>
  <si>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</si>
  <si>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</si>
  <si>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</si>
  <si>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</si>
  <si>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</si>
  <si>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</si>
  <si>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</si>
  <si>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</si>
  <si>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</si>
  <si>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</si>
  <si>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</si>
  <si>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</si>
  <si>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</si>
  <si>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</si>
  <si>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</si>
  <si>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</si>
  <si>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</si>
  <si>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</si>
  <si>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</si>
  <si>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</si>
  <si>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</si>
  <si>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</si>
  <si>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</si>
  <si>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</si>
  <si>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</si>
  <si>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</si>
  <si>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</si>
  <si>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</si>
  <si>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</si>
  <si>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</si>
  <si>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</si>
  <si>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</si>
  <si>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</si>
  <si>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</si>
  <si>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</si>
  <si>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</si>
  <si>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</si>
  <si>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</si>
  <si>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</si>
  <si>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</si>
  <si>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</si>
  <si>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</si>
  <si>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</si>
  <si>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</si>
  <si>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</si>
  <si>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</si>
  <si>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</si>
  <si>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</si>
  <si>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</si>
  <si>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</si>
  <si>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</si>
  <si>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</si>
  <si>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</si>
  <si>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</si>
  <si>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</si>
  <si>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</si>
  <si>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</si>
  <si>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</si>
  <si>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</si>
  <si>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</si>
  <si>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</si>
  <si>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</si>
  <si>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</si>
  <si>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</si>
  <si>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</si>
  <si>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</si>
  <si>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</si>
  <si>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</si>
  <si>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</si>
  <si>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</si>
  <si>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</si>
  <si>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</si>
  <si>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</si>
  <si>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</si>
  <si>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</si>
  <si>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</si>
  <si>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</si>
  <si>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</si>
  <si>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</si>
  <si>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</si>
  <si>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</si>
  <si>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</si>
  <si>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</si>
  <si>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</si>
  <si>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</si>
  <si>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</si>
  <si>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</si>
  <si>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</si>
  <si>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</si>
  <si>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</si>
  <si>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</si>
  <si>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</si>
  <si>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</si>
  <si>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</si>
  <si>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</si>
  <si>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</si>
  <si>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</si>
  <si>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</si>
  <si>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</si>
  <si>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</si>
  <si>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</si>
  <si>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</si>
  <si>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</si>
  <si>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</si>
  <si>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</si>
  <si>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</si>
  <si>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</si>
  <si>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</si>
  <si>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</si>
  <si>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</si>
  <si>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</si>
  <si>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</si>
  <si>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</si>
  <si>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</si>
  <si>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</si>
  <si>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</si>
  <si>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</si>
  <si>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</si>
  <si>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</si>
  <si>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</si>
  <si>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</si>
  <si>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</si>
  <si>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</si>
  <si>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</si>
  <si>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</si>
  <si>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</si>
  <si>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</si>
  <si>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</si>
  <si>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</si>
  <si>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</si>
  <si>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</si>
  <si>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</si>
  <si>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</si>
  <si>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</si>
  <si>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</si>
  <si>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</si>
  <si>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</si>
  <si>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</si>
  <si>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</si>
  <si>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</si>
  <si>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</si>
  <si>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</si>
  <si>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</si>
  <si>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</si>
  <si>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</si>
  <si>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</si>
  <si>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</si>
  <si>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</si>
  <si>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</si>
  <si>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</si>
  <si>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</si>
  <si>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</si>
  <si>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</si>
  <si>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</si>
  <si>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</si>
  <si>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</si>
  <si>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</si>
  <si>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</si>
  <si>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</si>
  <si>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</si>
  <si>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</si>
  <si>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</si>
  <si>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</si>
  <si>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</si>
  <si>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</si>
  <si>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</si>
  <si>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</si>
  <si>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</si>
  <si>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</si>
  <si>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</si>
  <si>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</si>
  <si>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</si>
  <si>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</si>
  <si>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</si>
  <si>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</si>
  <si>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</si>
  <si>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</si>
  <si>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</si>
  <si>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</si>
  <si>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</si>
  <si>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</si>
  <si>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</si>
  <si>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</si>
  <si>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</si>
  <si>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</si>
  <si>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</si>
  <si>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</si>
  <si>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</si>
  <si>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</si>
  <si>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</si>
  <si>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</si>
  <si>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</si>
  <si>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</si>
  <si>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</si>
  <si>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</si>
  <si>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</si>
  <si>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</si>
  <si>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</si>
  <si>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</si>
  <si>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</si>
  <si>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</si>
  <si>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</si>
  <si>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</si>
  <si>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</si>
  <si>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</si>
  <si>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</si>
  <si>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</si>
  <si>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</si>
  <si>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</si>
  <si>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</si>
  <si>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</si>
  <si>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</si>
  <si>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</si>
  <si>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</si>
  <si>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</si>
  <si>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</si>
  <si>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</si>
  <si>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</si>
  <si>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</si>
  <si>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</si>
  <si>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</si>
  <si>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</si>
  <si>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</si>
  <si>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</si>
  <si>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</si>
  <si>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</si>
  <si>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</si>
  <si>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</si>
  <si>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</si>
  <si>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</si>
  <si>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</si>
  <si>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</si>
  <si>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</si>
  <si>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</si>
  <si>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</si>
  <si>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</si>
  <si>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</si>
  <si>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</si>
  <si>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</si>
  <si>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</si>
  <si>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</si>
  <si>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</si>
  <si>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</si>
  <si>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</si>
  <si>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</si>
  <si>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</si>
  <si>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</si>
  <si>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</si>
  <si>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</si>
  <si>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</si>
  <si>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</si>
  <si>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</si>
  <si>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</si>
  <si>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</si>
  <si>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</si>
  <si>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</si>
  <si>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</si>
  <si>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</si>
  <si>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</si>
  <si>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</si>
  <si>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</si>
  <si>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</si>
  <si>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</si>
  <si>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</si>
  <si>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بدهی به مهدی دستی</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</si>
  <si>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</si>
  <si>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</si>
  <si>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</si>
  <si>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</si>
  <si>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</si>
  <si>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</si>
  <si>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</si>
  <si>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</si>
  <si>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</si>
  <si>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</si>
  <si>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</si>
  <si>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</si>
  <si>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</si>
  <si>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</si>
  <si>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</si>
  <si>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</si>
  <si>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فسازان</t>
  </si>
  <si>
    <t>فسازان 117 تا 840</t>
  </si>
  <si>
    <t>شاراک 113 تا 578.3</t>
  </si>
  <si>
    <t>price</t>
  </si>
  <si>
    <t>p/nav</t>
  </si>
  <si>
    <t>پیش بینی سود هر سهم 99</t>
  </si>
  <si>
    <t>2/6/1398</t>
  </si>
  <si>
    <t>3/6/1398</t>
  </si>
  <si>
    <t>معکوس</t>
  </si>
  <si>
    <t>ریشمک 10 تا 1204.7</t>
  </si>
  <si>
    <t>فروش 611614 تومن هجرت در حساب علی و مریم</t>
  </si>
  <si>
    <t>فروش 63348 ریشمک حساب علی و 13076601 حساب مریم</t>
  </si>
  <si>
    <t>زاگرس 100 تا 6060</t>
  </si>
  <si>
    <t>علی (بخشی از اعتبار مریم)</t>
  </si>
  <si>
    <t>سود ایجاد شده تا 3/6/1398</t>
  </si>
  <si>
    <t>فروش سهم</t>
  </si>
  <si>
    <t>نوسانگیری شاراک</t>
  </si>
  <si>
    <t>4/6/1398</t>
  </si>
  <si>
    <t>زاگرس 18 تا 6160</t>
  </si>
  <si>
    <t>واریز به حساب علی</t>
  </si>
  <si>
    <t>واریز 50000 تومن حساب علی</t>
  </si>
  <si>
    <t>زاگرس 200 تا 6108</t>
  </si>
  <si>
    <t>وغدیر 172144 تا 224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</si>
</sst>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1">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E28" sqref="E2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5200</v>
      </c>
      <c r="D1" s="189" t="s">
        <v>5162</v>
      </c>
      <c r="E1" s="213" t="s">
        <v>5160</v>
      </c>
      <c r="F1" s="213" t="s">
        <v>5161</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5104</v>
      </c>
      <c r="P23" s="18">
        <v>-50000</v>
      </c>
      <c r="Q23" s="99">
        <v>7</v>
      </c>
      <c r="R23" s="99"/>
      <c r="S23" s="99"/>
      <c r="T23" s="99"/>
    </row>
    <row r="24" spans="1:22">
      <c r="A24" s="213"/>
      <c r="B24" s="213"/>
      <c r="C24" s="213"/>
      <c r="D24" s="213"/>
      <c r="E24" s="213"/>
      <c r="F24" s="213"/>
      <c r="G24" s="213"/>
      <c r="H24" s="213" t="s">
        <v>5198</v>
      </c>
      <c r="I24" s="213" t="s">
        <v>5199</v>
      </c>
      <c r="J24" s="213"/>
      <c r="O24" s="99" t="s">
        <v>5111</v>
      </c>
      <c r="P24" s="18">
        <v>-2480000</v>
      </c>
      <c r="Q24" s="99">
        <v>5</v>
      </c>
      <c r="R24" s="99"/>
      <c r="S24" s="99"/>
      <c r="T24" s="99"/>
      <c r="V24" t="s">
        <v>25</v>
      </c>
    </row>
    <row r="25" spans="1:22">
      <c r="O25" s="99" t="s">
        <v>5121</v>
      </c>
      <c r="P25" s="18">
        <v>300000</v>
      </c>
      <c r="Q25" s="99">
        <v>1</v>
      </c>
      <c r="R25" s="99"/>
      <c r="S25" s="99"/>
      <c r="T25" s="99"/>
    </row>
    <row r="26" spans="1:22">
      <c r="O26" s="99" t="s">
        <v>4235</v>
      </c>
      <c r="P26" s="18">
        <v>300000</v>
      </c>
      <c r="Q26" s="99">
        <v>6</v>
      </c>
      <c r="R26" s="99"/>
      <c r="S26" s="99"/>
      <c r="T26" s="99"/>
    </row>
    <row r="27" spans="1:22">
      <c r="O27" s="99" t="s">
        <v>5138</v>
      </c>
      <c r="P27" s="18">
        <v>500000</v>
      </c>
      <c r="Q27" s="99">
        <v>2</v>
      </c>
      <c r="R27" s="99"/>
      <c r="S27" s="99"/>
      <c r="T27" s="99"/>
    </row>
    <row r="28" spans="1:22">
      <c r="O28" s="99" t="s">
        <v>5148</v>
      </c>
      <c r="P28" s="18">
        <v>100000</v>
      </c>
      <c r="Q28" s="99">
        <v>1</v>
      </c>
      <c r="R28" s="99"/>
      <c r="S28" s="99"/>
      <c r="T28" s="99"/>
    </row>
    <row r="29" spans="1:22">
      <c r="O29" s="99" t="s">
        <v>5149</v>
      </c>
      <c r="P29" s="18">
        <v>-6423626</v>
      </c>
      <c r="Q29" s="99">
        <v>1</v>
      </c>
      <c r="R29" s="99"/>
      <c r="S29" s="99"/>
      <c r="T29" s="99"/>
    </row>
    <row r="30" spans="1:22">
      <c r="B30" s="96"/>
      <c r="E30" s="96"/>
      <c r="F30" s="96"/>
      <c r="O30" s="99" t="s">
        <v>5153</v>
      </c>
      <c r="P30" s="18">
        <v>-4592486</v>
      </c>
      <c r="Q30" s="99">
        <v>0</v>
      </c>
      <c r="R30" s="99"/>
      <c r="S30" s="99"/>
      <c r="T30" s="99"/>
    </row>
    <row r="31" spans="1:22">
      <c r="B31" s="96"/>
      <c r="E31" s="96"/>
      <c r="F31" s="96"/>
      <c r="O31" s="99" t="s">
        <v>5153</v>
      </c>
      <c r="P31" s="18">
        <v>4346112</v>
      </c>
      <c r="Q31" s="99">
        <v>11</v>
      </c>
      <c r="R31" s="99"/>
      <c r="S31" s="99"/>
      <c r="T31" s="99"/>
    </row>
    <row r="32" spans="1:22">
      <c r="B32" s="96"/>
      <c r="E32" s="96"/>
      <c r="F32" s="96"/>
      <c r="O32" s="99" t="s">
        <v>5177</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5022</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
  <sheetViews>
    <sheetView topLeftCell="A56" workbookViewId="0">
      <selection activeCell="E81" sqref="E8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5110</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5134</v>
      </c>
      <c r="F71" s="96"/>
      <c r="G71" s="96"/>
      <c r="H71" s="96"/>
      <c r="I71" s="96"/>
      <c r="J71" s="96"/>
      <c r="K71" s="96"/>
      <c r="L71" s="96"/>
      <c r="M71" s="96"/>
      <c r="N71" s="96"/>
      <c r="O71" s="96"/>
      <c r="P71" s="96"/>
      <c r="Q71" s="96"/>
      <c r="R71" s="96"/>
      <c r="S71" s="96"/>
      <c r="T71" s="96"/>
      <c r="U71" s="96"/>
    </row>
    <row r="72" spans="1:21">
      <c r="A72" s="96"/>
      <c r="B72" s="96"/>
      <c r="C72" s="96"/>
      <c r="D72" s="18">
        <v>1500000</v>
      </c>
      <c r="E72" s="256" t="s">
        <v>5135</v>
      </c>
      <c r="F72" s="96"/>
      <c r="G72" s="96"/>
      <c r="H72" s="96"/>
      <c r="I72" s="96"/>
      <c r="J72" s="96"/>
      <c r="K72" s="96"/>
      <c r="L72" s="96"/>
      <c r="M72" s="96"/>
      <c r="N72" s="96"/>
      <c r="O72" s="96"/>
      <c r="P72" s="96"/>
      <c r="Q72" s="96"/>
      <c r="R72" s="96"/>
      <c r="S72" s="96"/>
      <c r="T72" s="96"/>
      <c r="U72" s="96"/>
    </row>
    <row r="73" spans="1:21">
      <c r="A73" s="96"/>
      <c r="B73" s="96"/>
      <c r="C73" s="96"/>
      <c r="D73" s="18">
        <v>-550000</v>
      </c>
      <c r="E73" s="256" t="s">
        <v>5142</v>
      </c>
      <c r="F73" s="96"/>
      <c r="G73" s="96"/>
      <c r="H73" s="96"/>
      <c r="I73" s="96"/>
      <c r="J73" s="96"/>
      <c r="K73" s="96"/>
      <c r="L73" s="96"/>
      <c r="M73" s="96"/>
      <c r="N73" s="96"/>
      <c r="O73" s="96"/>
      <c r="P73" s="96"/>
      <c r="Q73" s="96"/>
      <c r="R73" s="96"/>
      <c r="S73" s="96"/>
      <c r="T73" s="96"/>
      <c r="U73" s="96"/>
    </row>
    <row r="74" spans="1:21">
      <c r="A74" s="96"/>
      <c r="B74" s="96"/>
      <c r="C74" s="96"/>
      <c r="D74" s="18">
        <v>-50000</v>
      </c>
      <c r="E74" s="256" t="s">
        <v>5143</v>
      </c>
      <c r="F74" s="96"/>
      <c r="G74" s="96"/>
      <c r="H74" s="96"/>
      <c r="I74" s="96"/>
      <c r="J74" s="96"/>
      <c r="K74" s="96"/>
      <c r="L74" s="96"/>
      <c r="M74" s="96"/>
      <c r="N74" s="96"/>
      <c r="O74" s="96"/>
      <c r="P74" s="96"/>
      <c r="Q74" s="96"/>
      <c r="R74" s="96"/>
      <c r="S74" s="96"/>
      <c r="T74" s="96"/>
      <c r="U74" s="96"/>
    </row>
    <row r="75" spans="1:21">
      <c r="A75" s="96"/>
      <c r="B75" s="96"/>
      <c r="C75" s="96"/>
      <c r="D75" s="18">
        <v>-60000</v>
      </c>
      <c r="E75" s="256" t="s">
        <v>5144</v>
      </c>
      <c r="F75" s="96"/>
      <c r="G75" s="96"/>
      <c r="H75" s="96"/>
      <c r="I75" s="96"/>
      <c r="J75" s="96"/>
      <c r="K75" s="96"/>
      <c r="L75" s="96"/>
      <c r="M75" s="96"/>
      <c r="N75" s="96"/>
      <c r="O75" s="96"/>
      <c r="P75" s="96"/>
      <c r="Q75" s="96"/>
      <c r="R75" s="96"/>
      <c r="S75" s="96"/>
      <c r="T75" s="96"/>
      <c r="U75" s="96"/>
    </row>
    <row r="76" spans="1:21">
      <c r="A76" s="96"/>
      <c r="B76" s="96"/>
      <c r="C76" s="96"/>
      <c r="D76" s="18">
        <v>-43000</v>
      </c>
      <c r="E76" s="256" t="s">
        <v>5155</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5171</v>
      </c>
      <c r="F78" s="96"/>
      <c r="G78" s="96"/>
      <c r="H78" s="96"/>
      <c r="I78" s="96"/>
      <c r="J78" s="96"/>
      <c r="K78" s="96"/>
      <c r="L78" s="96"/>
      <c r="M78" s="96"/>
      <c r="N78" s="96"/>
      <c r="O78" s="96"/>
      <c r="P78" s="96"/>
      <c r="Q78" s="96"/>
      <c r="R78" s="96"/>
      <c r="S78" s="96"/>
      <c r="T78" s="96"/>
      <c r="U78" s="96"/>
    </row>
    <row r="79" spans="1:21">
      <c r="A79" s="96"/>
      <c r="B79" s="96"/>
      <c r="C79" s="96"/>
      <c r="D79" s="18">
        <v>-750000</v>
      </c>
      <c r="E79" s="256" t="s">
        <v>5179</v>
      </c>
      <c r="F79" s="96"/>
      <c r="G79" s="96"/>
      <c r="H79" s="96"/>
      <c r="I79" s="96"/>
      <c r="J79" s="96"/>
      <c r="K79" s="96"/>
      <c r="L79" s="96"/>
      <c r="M79" s="96"/>
      <c r="N79" s="96"/>
      <c r="O79" s="96"/>
      <c r="P79" s="96"/>
      <c r="Q79" s="96"/>
      <c r="R79" s="96"/>
      <c r="S79" s="96"/>
      <c r="T79" s="96"/>
      <c r="U79" s="96"/>
    </row>
    <row r="80" spans="1:21">
      <c r="A80" s="96"/>
      <c r="B80" s="96"/>
      <c r="C80" s="96"/>
      <c r="D80" s="18">
        <v>50000</v>
      </c>
      <c r="E80" s="256" t="s">
        <v>5191</v>
      </c>
      <c r="F80" s="96"/>
      <c r="G80" s="96"/>
      <c r="H80" s="96"/>
      <c r="I80" s="96"/>
      <c r="J80" s="96"/>
      <c r="K80" s="96"/>
      <c r="L80" s="96"/>
      <c r="M80" s="96"/>
      <c r="N80" s="96"/>
      <c r="O80" s="96"/>
      <c r="P80" s="96"/>
      <c r="Q80" s="96"/>
      <c r="R80" s="96"/>
      <c r="S80" s="96"/>
      <c r="T80" s="96"/>
      <c r="U80" s="96"/>
    </row>
    <row r="81" spans="1:21">
      <c r="A81" s="96"/>
      <c r="B81" s="96"/>
      <c r="C81" s="96"/>
      <c r="D81" s="18"/>
      <c r="E81" s="256"/>
      <c r="F81" s="96"/>
      <c r="G81" s="96"/>
      <c r="H81" s="96"/>
      <c r="I81" s="96"/>
      <c r="J81" s="96"/>
      <c r="K81" s="96"/>
      <c r="L81" s="96"/>
      <c r="M81" s="96"/>
      <c r="N81" s="96"/>
      <c r="O81" s="96"/>
      <c r="P81" s="96"/>
      <c r="Q81" s="96"/>
      <c r="R81" s="96"/>
      <c r="S81" s="96"/>
      <c r="T81" s="96"/>
      <c r="U81" s="96"/>
    </row>
    <row r="82" spans="1:21">
      <c r="A82" s="96"/>
      <c r="B82" s="96"/>
      <c r="C82" s="96"/>
      <c r="D82" s="18"/>
      <c r="E82" s="96"/>
      <c r="F82" s="96"/>
      <c r="G82" s="96"/>
      <c r="H82" s="96"/>
      <c r="I82" s="96"/>
      <c r="J82" s="96"/>
      <c r="K82" s="96"/>
      <c r="L82" s="96"/>
      <c r="M82" s="96"/>
      <c r="N82" s="96"/>
      <c r="O82" s="96"/>
      <c r="P82" s="96"/>
      <c r="Q82" s="96"/>
      <c r="R82" s="96"/>
      <c r="S82" s="96"/>
      <c r="T82" s="96"/>
      <c r="U82" s="96"/>
    </row>
    <row r="83" spans="1:21">
      <c r="D83" s="18"/>
      <c r="E83" s="96" t="s">
        <v>25</v>
      </c>
      <c r="H83" t="s">
        <v>25</v>
      </c>
    </row>
    <row r="84" spans="1:21">
      <c r="D84" s="18">
        <f>SUM(D40:D83)</f>
        <v>22965909</v>
      </c>
      <c r="E84" s="96" t="s">
        <v>6</v>
      </c>
    </row>
    <row r="85" spans="1:21">
      <c r="D85" s="96"/>
      <c r="E85" s="96"/>
    </row>
    <row r="86" spans="1:21">
      <c r="D86" s="96"/>
      <c r="E86" s="96"/>
    </row>
    <row r="89" spans="1:21">
      <c r="E89" t="s">
        <v>25</v>
      </c>
    </row>
    <row r="90" spans="1:21">
      <c r="E90"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4922</v>
      </c>
      <c r="B274" s="113">
        <v>3500000</v>
      </c>
      <c r="C274" s="99">
        <v>0</v>
      </c>
      <c r="D274" s="99">
        <f t="shared" si="8"/>
        <v>32</v>
      </c>
      <c r="E274" s="99">
        <f t="shared" si="9"/>
        <v>0</v>
      </c>
      <c r="F274" s="99">
        <f t="shared" si="10"/>
        <v>-7168384</v>
      </c>
      <c r="G274" s="99"/>
    </row>
    <row r="275" spans="1:11">
      <c r="A275" s="99" t="s">
        <v>4922</v>
      </c>
      <c r="B275" s="113">
        <v>-224012</v>
      </c>
      <c r="C275" s="99">
        <v>2</v>
      </c>
      <c r="D275" s="99">
        <f t="shared" si="8"/>
        <v>32</v>
      </c>
      <c r="E275" s="99">
        <f t="shared" si="9"/>
        <v>0</v>
      </c>
      <c r="F275" s="99">
        <f t="shared" si="10"/>
        <v>-3349472</v>
      </c>
      <c r="G275" s="99"/>
    </row>
    <row r="276" spans="1:11">
      <c r="A276" s="99" t="s">
        <v>4943</v>
      </c>
      <c r="B276" s="113">
        <v>-104671</v>
      </c>
      <c r="C276" s="99">
        <v>1</v>
      </c>
      <c r="D276" s="99">
        <f t="shared" ref="D276:D280" si="11">D277+C276</f>
        <v>30</v>
      </c>
      <c r="E276" s="99">
        <f t="shared" ref="E276:E280" si="12">IF(B277&gt;0,1,0)</f>
        <v>0</v>
      </c>
      <c r="F276" s="99">
        <f t="shared" ref="F276:F280" si="13">B277*(D276-E276)</f>
        <v>-8160000</v>
      </c>
      <c r="G276" s="99"/>
    </row>
    <row r="277" spans="1:11">
      <c r="A277" s="99" t="s">
        <v>4945</v>
      </c>
      <c r="B277" s="113">
        <v>-272000</v>
      </c>
      <c r="C277" s="99">
        <v>1</v>
      </c>
      <c r="D277" s="99">
        <f t="shared" si="11"/>
        <v>29</v>
      </c>
      <c r="E277" s="99">
        <f t="shared" si="12"/>
        <v>0</v>
      </c>
      <c r="F277" s="99">
        <f t="shared" si="13"/>
        <v>-74387262</v>
      </c>
      <c r="G277" s="99"/>
    </row>
    <row r="278" spans="1:11">
      <c r="A278" s="99" t="s">
        <v>4947</v>
      </c>
      <c r="B278" s="113">
        <v>-2565078</v>
      </c>
      <c r="C278" s="99">
        <v>2</v>
      </c>
      <c r="D278" s="99">
        <f t="shared" si="11"/>
        <v>28</v>
      </c>
      <c r="E278" s="99">
        <f t="shared" si="12"/>
        <v>0</v>
      </c>
      <c r="F278" s="99">
        <f t="shared" si="13"/>
        <v>-5978000</v>
      </c>
      <c r="G278" s="99"/>
    </row>
    <row r="279" spans="1:11">
      <c r="A279" s="99" t="s">
        <v>4894</v>
      </c>
      <c r="B279" s="113">
        <v>-213500</v>
      </c>
      <c r="C279" s="99">
        <v>1</v>
      </c>
      <c r="D279" s="99">
        <f t="shared" si="11"/>
        <v>26</v>
      </c>
      <c r="E279" s="99">
        <f t="shared" si="12"/>
        <v>0</v>
      </c>
      <c r="F279" s="99">
        <f t="shared" si="13"/>
        <v>-99060</v>
      </c>
      <c r="G279" s="99"/>
    </row>
    <row r="280" spans="1:11">
      <c r="A280" s="99" t="s">
        <v>4964</v>
      </c>
      <c r="B280" s="113">
        <v>-3810</v>
      </c>
      <c r="C280" s="99">
        <v>1</v>
      </c>
      <c r="D280" s="99">
        <f t="shared" si="11"/>
        <v>25</v>
      </c>
      <c r="E280" s="99">
        <f t="shared" si="12"/>
        <v>0</v>
      </c>
      <c r="F280" s="99">
        <f t="shared" si="13"/>
        <v>-3015800</v>
      </c>
      <c r="G280" s="99"/>
      <c r="J280" t="s">
        <v>25</v>
      </c>
    </row>
    <row r="281" spans="1:11">
      <c r="A281" s="99" t="s">
        <v>4965</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4953</v>
      </c>
      <c r="B282" s="113">
        <v>80000</v>
      </c>
      <c r="C282" s="99">
        <v>0</v>
      </c>
      <c r="D282" s="99">
        <f t="shared" si="14"/>
        <v>23</v>
      </c>
      <c r="E282" s="99">
        <f t="shared" si="15"/>
        <v>0</v>
      </c>
      <c r="F282" s="99">
        <f t="shared" si="16"/>
        <v>-57500</v>
      </c>
      <c r="G282" s="99"/>
    </row>
    <row r="283" spans="1:11">
      <c r="A283" s="99" t="s">
        <v>4953</v>
      </c>
      <c r="B283" s="113">
        <v>-2500</v>
      </c>
      <c r="C283" s="99">
        <v>1</v>
      </c>
      <c r="D283" s="99">
        <f t="shared" si="14"/>
        <v>23</v>
      </c>
      <c r="E283" s="99">
        <f t="shared" si="15"/>
        <v>0</v>
      </c>
      <c r="F283" s="99">
        <f t="shared" si="16"/>
        <v>-690000</v>
      </c>
      <c r="G283" s="99"/>
      <c r="J283" s="114">
        <f>B315-498804</f>
        <v>-140500</v>
      </c>
    </row>
    <row r="284" spans="1:11">
      <c r="A284" s="99" t="s">
        <v>4958</v>
      </c>
      <c r="B284" s="113">
        <v>-30000</v>
      </c>
      <c r="C284" s="99">
        <v>1</v>
      </c>
      <c r="D284" s="99">
        <f t="shared" si="14"/>
        <v>22</v>
      </c>
      <c r="E284" s="99">
        <f t="shared" si="15"/>
        <v>0</v>
      </c>
      <c r="F284" s="99">
        <f t="shared" si="16"/>
        <v>-435600</v>
      </c>
      <c r="G284" s="99"/>
    </row>
    <row r="285" spans="1:11">
      <c r="A285" s="99" t="s">
        <v>4966</v>
      </c>
      <c r="B285" s="113">
        <v>-19800</v>
      </c>
      <c r="C285" s="99">
        <v>1</v>
      </c>
      <c r="D285" s="99">
        <f t="shared" si="14"/>
        <v>21</v>
      </c>
      <c r="E285" s="99">
        <f t="shared" si="15"/>
        <v>1</v>
      </c>
      <c r="F285" s="99">
        <f t="shared" si="16"/>
        <v>18800000</v>
      </c>
      <c r="G285" s="99"/>
      <c r="K285" t="s">
        <v>25</v>
      </c>
    </row>
    <row r="286" spans="1:11">
      <c r="A286" s="99" t="s">
        <v>4957</v>
      </c>
      <c r="B286" s="113">
        <v>940000</v>
      </c>
      <c r="C286" s="99">
        <v>0</v>
      </c>
      <c r="D286" s="99">
        <f t="shared" si="14"/>
        <v>20</v>
      </c>
      <c r="E286" s="99">
        <f t="shared" si="15"/>
        <v>0</v>
      </c>
      <c r="F286" s="99">
        <f t="shared" si="16"/>
        <v>-4020000</v>
      </c>
      <c r="G286" s="99"/>
    </row>
    <row r="287" spans="1:11">
      <c r="A287" s="99" t="s">
        <v>4957</v>
      </c>
      <c r="B287" s="113">
        <v>-201000</v>
      </c>
      <c r="C287" s="99">
        <v>1</v>
      </c>
      <c r="D287" s="99">
        <f t="shared" si="14"/>
        <v>20</v>
      </c>
      <c r="E287" s="99">
        <f t="shared" si="15"/>
        <v>0</v>
      </c>
      <c r="F287" s="99">
        <f t="shared" si="16"/>
        <v>-6418600</v>
      </c>
      <c r="G287" s="99"/>
    </row>
    <row r="288" spans="1:11">
      <c r="A288" s="99" t="s">
        <v>4962</v>
      </c>
      <c r="B288" s="113">
        <v>-320930</v>
      </c>
      <c r="C288" s="99">
        <v>3</v>
      </c>
      <c r="D288" s="99">
        <f t="shared" si="14"/>
        <v>19</v>
      </c>
      <c r="E288" s="99">
        <f t="shared" si="15"/>
        <v>0</v>
      </c>
      <c r="F288" s="99">
        <f t="shared" si="16"/>
        <v>-7600000</v>
      </c>
      <c r="G288" s="99"/>
    </row>
    <row r="289" spans="1:10">
      <c r="A289" s="99" t="s">
        <v>4963</v>
      </c>
      <c r="B289" s="113">
        <v>-400000</v>
      </c>
      <c r="C289" s="99">
        <v>1</v>
      </c>
      <c r="D289" s="99">
        <f t="shared" ref="D289:D313" si="17">D290+C289</f>
        <v>16</v>
      </c>
      <c r="E289" s="99">
        <f t="shared" ref="E289:E313" si="18">IF(B290&gt;0,1,0)</f>
        <v>0</v>
      </c>
      <c r="F289" s="99">
        <f t="shared" ref="F289:F313" si="19">B290*(D289-E289)</f>
        <v>-264000</v>
      </c>
      <c r="G289" s="99"/>
    </row>
    <row r="290" spans="1:10">
      <c r="A290" s="99" t="s">
        <v>4970</v>
      </c>
      <c r="B290" s="113">
        <v>-16500</v>
      </c>
      <c r="C290" s="99">
        <v>11</v>
      </c>
      <c r="D290" s="99">
        <f t="shared" si="17"/>
        <v>15</v>
      </c>
      <c r="E290" s="99">
        <f t="shared" si="18"/>
        <v>1</v>
      </c>
      <c r="F290" s="99">
        <f t="shared" si="19"/>
        <v>36400000</v>
      </c>
      <c r="G290" s="99"/>
    </row>
    <row r="291" spans="1:10">
      <c r="A291" s="99" t="s">
        <v>4992</v>
      </c>
      <c r="B291" s="113">
        <v>2600000</v>
      </c>
      <c r="C291" s="99">
        <v>2</v>
      </c>
      <c r="D291" s="99">
        <f t="shared" si="17"/>
        <v>4</v>
      </c>
      <c r="E291" s="99">
        <f t="shared" si="18"/>
        <v>0</v>
      </c>
      <c r="F291" s="99">
        <f t="shared" si="19"/>
        <v>-4680000</v>
      </c>
      <c r="G291" s="99"/>
      <c r="I291" t="s">
        <v>25</v>
      </c>
    </row>
    <row r="292" spans="1:10">
      <c r="A292" s="99" t="s">
        <v>4993</v>
      </c>
      <c r="B292" s="113">
        <v>-1170000</v>
      </c>
      <c r="C292" s="99">
        <v>0</v>
      </c>
      <c r="D292" s="99">
        <f t="shared" si="17"/>
        <v>2</v>
      </c>
      <c r="E292" s="99">
        <f t="shared" si="18"/>
        <v>0</v>
      </c>
      <c r="F292" s="99">
        <f t="shared" si="19"/>
        <v>-18000</v>
      </c>
      <c r="G292" s="99" t="s">
        <v>4994</v>
      </c>
      <c r="J292" t="s">
        <v>25</v>
      </c>
    </row>
    <row r="293" spans="1:10">
      <c r="A293" s="99" t="s">
        <v>4993</v>
      </c>
      <c r="B293" s="113">
        <v>-9000</v>
      </c>
      <c r="C293" s="99">
        <v>1</v>
      </c>
      <c r="D293" s="99">
        <f t="shared" si="17"/>
        <v>2</v>
      </c>
      <c r="E293" s="99">
        <f t="shared" si="18"/>
        <v>0</v>
      </c>
      <c r="F293" s="99">
        <f t="shared" si="19"/>
        <v>-2290000</v>
      </c>
      <c r="G293" s="99"/>
    </row>
    <row r="294" spans="1:10">
      <c r="A294" s="99" t="s">
        <v>4996</v>
      </c>
      <c r="B294" s="113">
        <v>-1145000</v>
      </c>
      <c r="C294" s="99">
        <v>1</v>
      </c>
      <c r="D294" s="99">
        <f t="shared" si="17"/>
        <v>1</v>
      </c>
      <c r="E294" s="99">
        <f t="shared" si="18"/>
        <v>0</v>
      </c>
      <c r="F294" s="99">
        <f t="shared" si="19"/>
        <v>0</v>
      </c>
      <c r="G294" s="99" t="s">
        <v>4997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14" activePane="bottomLeft" state="frozen"/>
      <selection pane="bottomLeft" activeCell="M42" sqref="M4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5182</v>
      </c>
      <c r="L33" t="s">
        <v>5183</v>
      </c>
      <c r="M33" t="s">
        <v>5184</v>
      </c>
      <c r="N33" t="s">
        <v>5185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5187</v>
      </c>
      <c r="M34" t="s">
        <v>5188</v>
      </c>
      <c r="N34" t="s">
        <v>5186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0"/>
  <sheetViews>
    <sheetView tabSelected="1" topLeftCell="H86" zoomScale="90" zoomScaleNormal="90" workbookViewId="0">
      <selection activeCell="K108" sqref="K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5174</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1330520</v>
      </c>
      <c r="O20" s="99" t="s">
        <v>936</v>
      </c>
      <c r="P20" s="99" t="s">
        <v>3928</v>
      </c>
      <c r="Q20" s="169">
        <v>9268987</v>
      </c>
      <c r="R20" s="168" t="s">
        <v>4171</v>
      </c>
      <c r="S20" s="191">
        <f>S88</f>
        <v>331</v>
      </c>
      <c r="T20" s="168" t="s">
        <v>4307</v>
      </c>
      <c r="U20" s="168">
        <v>192.1</v>
      </c>
      <c r="V20" s="168">
        <f>U20*(1+$R$84+$Q$15*S20/36500)</f>
        <v>243.79753095890413</v>
      </c>
      <c r="W20" s="32">
        <f t="shared" ref="W20:W29" si="6">V20*(1+$W$19/100)</f>
        <v>248.67348157808223</v>
      </c>
      <c r="X20" s="32">
        <f t="shared" ref="X20:X29" si="7">V20*(1+$X$19/100)</f>
        <v>253.5494321972603</v>
      </c>
      <c r="Y20" s="115"/>
      <c r="Z20" s="115"/>
      <c r="AH20" s="99">
        <v>1</v>
      </c>
      <c r="AI20" s="113" t="s">
        <v>1107</v>
      </c>
      <c r="AJ20" s="113">
        <v>18000000</v>
      </c>
      <c r="AK20" s="99">
        <v>1</v>
      </c>
      <c r="AL20" s="99">
        <f>AL21+AK20</f>
        <v>504</v>
      </c>
      <c r="AM20" s="113">
        <f>AJ20*AL20</f>
        <v>9072000000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-N33</f>
        <v>650534950.0302099</v>
      </c>
      <c r="M21" s="168" t="s">
        <v>4299</v>
      </c>
      <c r="N21" s="113">
        <f t="shared" ref="N21:N25" si="8">O21*P21</f>
        <v>415851923.20000005</v>
      </c>
      <c r="O21" s="99">
        <v>1614332</v>
      </c>
      <c r="P21" s="185">
        <f>P48</f>
        <v>257.60000000000002</v>
      </c>
      <c r="Q21" s="169">
        <v>1353959</v>
      </c>
      <c r="R21" s="168" t="s">
        <v>4425</v>
      </c>
      <c r="S21" s="198">
        <f>S20-59</f>
        <v>272</v>
      </c>
      <c r="T21" s="19" t="s">
        <v>4469</v>
      </c>
      <c r="U21" s="168">
        <v>192.2</v>
      </c>
      <c r="V21" s="168">
        <f>U21*(1+$R$84+$Q$15*S21/36500)</f>
        <v>235.22541808219177</v>
      </c>
      <c r="W21" s="32">
        <f t="shared" si="6"/>
        <v>239.9299264438356</v>
      </c>
      <c r="X21" s="32">
        <f t="shared" si="7"/>
        <v>244.63443480547946</v>
      </c>
      <c r="Y21" s="115"/>
      <c r="Z21" s="115"/>
      <c r="AH21" s="99">
        <v>2</v>
      </c>
      <c r="AI21" s="113" t="s">
        <v>1109</v>
      </c>
      <c r="AJ21" s="113">
        <v>2500000</v>
      </c>
      <c r="AK21" s="99">
        <v>1</v>
      </c>
      <c r="AL21" s="99">
        <f t="shared" ref="AL21:AL63" si="9">AL22+AK21</f>
        <v>503</v>
      </c>
      <c r="AM21" s="113">
        <f t="shared" ref="AM21:AM120" si="10">AJ21*AL21</f>
        <v>1257500000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702844.2</v>
      </c>
      <c r="O22" s="99">
        <v>171</v>
      </c>
      <c r="P22" s="185">
        <f>P44</f>
        <v>4110.2</v>
      </c>
      <c r="Q22" s="169">
        <v>1614398</v>
      </c>
      <c r="R22" s="168" t="s">
        <v>4431</v>
      </c>
      <c r="S22" s="168">
        <f>S21-3</f>
        <v>269</v>
      </c>
      <c r="T22" s="19" t="s">
        <v>4502</v>
      </c>
      <c r="U22" s="168">
        <v>184.6</v>
      </c>
      <c r="V22" s="168">
        <f>U22*(1+$R$84+$Q$15*S22/36500)</f>
        <v>225.4992679452055</v>
      </c>
      <c r="W22" s="32">
        <f t="shared" si="6"/>
        <v>230.00925330410962</v>
      </c>
      <c r="X22" s="32">
        <f t="shared" si="7"/>
        <v>234.51923866301374</v>
      </c>
      <c r="Y22" s="115"/>
      <c r="Z22" s="115"/>
      <c r="AH22" s="99">
        <v>3</v>
      </c>
      <c r="AI22" s="113" t="s">
        <v>1118</v>
      </c>
      <c r="AJ22" s="113">
        <v>8000000</v>
      </c>
      <c r="AK22" s="99">
        <v>1</v>
      </c>
      <c r="AL22" s="99">
        <f t="shared" si="9"/>
        <v>502</v>
      </c>
      <c r="AM22" s="113">
        <f t="shared" si="10"/>
        <v>4016000000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5195</v>
      </c>
      <c r="N23" s="113">
        <f t="shared" si="8"/>
        <v>117140.40000000001</v>
      </c>
      <c r="O23" s="99">
        <v>117</v>
      </c>
      <c r="P23" s="185">
        <f>P47</f>
        <v>1001.2</v>
      </c>
      <c r="Q23" s="169">
        <v>133576</v>
      </c>
      <c r="R23" s="168" t="s">
        <v>4509</v>
      </c>
      <c r="S23" s="197">
        <f>S22-22</f>
        <v>247</v>
      </c>
      <c r="T23" s="168" t="s">
        <v>4510</v>
      </c>
      <c r="U23" s="168">
        <v>166.2</v>
      </c>
      <c r="V23" s="168">
        <f>U23*(1+$R$84+$Q$15*S23/36500)</f>
        <v>200.21772493150684</v>
      </c>
      <c r="W23" s="32">
        <f t="shared" si="6"/>
        <v>204.22207943013697</v>
      </c>
      <c r="X23" s="32">
        <f t="shared" si="7"/>
        <v>208.22643392876711</v>
      </c>
      <c r="Y23" s="96"/>
      <c r="Z23" s="96"/>
      <c r="AH23" s="99">
        <v>4</v>
      </c>
      <c r="AI23" s="113" t="s">
        <v>4053</v>
      </c>
      <c r="AJ23" s="113">
        <v>-79552</v>
      </c>
      <c r="AK23" s="99">
        <v>1</v>
      </c>
      <c r="AL23" s="99">
        <f t="shared" si="9"/>
        <v>501</v>
      </c>
      <c r="AM23" s="113">
        <f t="shared" si="10"/>
        <v>-39855552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L60</f>
        <v>557033799.63020992</v>
      </c>
      <c r="G24" s="95">
        <f t="shared" si="0"/>
        <v>-276727454.24827129</v>
      </c>
      <c r="H24" s="11"/>
      <c r="I24" s="96"/>
      <c r="J24" s="96"/>
      <c r="K24" s="213"/>
      <c r="L24" s="117"/>
      <c r="M24" s="213" t="s">
        <v>4392</v>
      </c>
      <c r="N24" s="113">
        <f t="shared" si="8"/>
        <v>1823790</v>
      </c>
      <c r="O24" s="99">
        <v>300</v>
      </c>
      <c r="P24" s="185">
        <v>6079.3</v>
      </c>
      <c r="Q24" s="169">
        <v>220803</v>
      </c>
      <c r="R24" s="168" t="s">
        <v>4229</v>
      </c>
      <c r="S24" s="197">
        <f>S23-1</f>
        <v>246</v>
      </c>
      <c r="T24" s="168" t="s">
        <v>4516</v>
      </c>
      <c r="U24" s="168">
        <v>166</v>
      </c>
      <c r="V24" s="168">
        <f>U24*(1+$R$84+$Q$15*S24/36500)</f>
        <v>199.84944657534248</v>
      </c>
      <c r="W24" s="32">
        <f t="shared" si="6"/>
        <v>203.84643550684933</v>
      </c>
      <c r="X24" s="32">
        <f t="shared" si="7"/>
        <v>207.84342443835618</v>
      </c>
      <c r="Y24" s="96"/>
      <c r="Z24" s="96"/>
      <c r="AH24" s="99">
        <v>5</v>
      </c>
      <c r="AI24" s="113" t="s">
        <v>1130</v>
      </c>
      <c r="AJ24" s="113">
        <v>165500</v>
      </c>
      <c r="AK24" s="99">
        <v>12</v>
      </c>
      <c r="AL24" s="99">
        <f t="shared" si="9"/>
        <v>500</v>
      </c>
      <c r="AM24" s="113">
        <f t="shared" si="10"/>
        <v>82750000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t="s">
        <v>4467</v>
      </c>
      <c r="L25" s="117">
        <f>-'فروردین 98'!D84</f>
        <v>-22965909</v>
      </c>
      <c r="M25" s="213" t="s">
        <v>4406</v>
      </c>
      <c r="N25" s="113">
        <f t="shared" si="8"/>
        <v>108498368</v>
      </c>
      <c r="O25" s="99">
        <v>146560</v>
      </c>
      <c r="P25" s="185">
        <f>P45</f>
        <v>740.3</v>
      </c>
      <c r="Q25" s="169">
        <v>1023940</v>
      </c>
      <c r="R25" s="168" t="s">
        <v>4517</v>
      </c>
      <c r="S25" s="197">
        <f>S24-2</f>
        <v>244</v>
      </c>
      <c r="T25" s="168" t="s">
        <v>4523</v>
      </c>
      <c r="U25" s="168">
        <v>160.19999999999999</v>
      </c>
      <c r="V25" s="168">
        <f>U25*(1+$R$84+$Q$15*S25/36500)</f>
        <v>192.62096876712329</v>
      </c>
      <c r="W25" s="32">
        <f t="shared" si="6"/>
        <v>196.47338814246575</v>
      </c>
      <c r="X25" s="32">
        <f t="shared" si="7"/>
        <v>200.32580751780822</v>
      </c>
      <c r="Y25" s="96"/>
      <c r="Z25" s="96" t="s">
        <v>25</v>
      </c>
      <c r="AH25" s="99">
        <v>6</v>
      </c>
      <c r="AI25" s="113" t="s">
        <v>1155</v>
      </c>
      <c r="AJ25" s="113">
        <v>-28830327</v>
      </c>
      <c r="AK25" s="99">
        <v>6</v>
      </c>
      <c r="AL25" s="99">
        <f t="shared" si="9"/>
        <v>488</v>
      </c>
      <c r="AM25" s="113">
        <f t="shared" si="10"/>
        <v>-14069199576</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c r="L26" s="117"/>
      <c r="M26" s="168"/>
      <c r="N26" s="113"/>
      <c r="O26" s="69" t="s">
        <v>25</v>
      </c>
      <c r="P26" s="99"/>
      <c r="Q26" s="169">
        <v>168846</v>
      </c>
      <c r="R26" s="168" t="s">
        <v>3690</v>
      </c>
      <c r="S26" s="197">
        <f>S25-28</f>
        <v>216</v>
      </c>
      <c r="T26" s="168" t="s">
        <v>4612</v>
      </c>
      <c r="U26" s="168">
        <v>172.2</v>
      </c>
      <c r="V26" s="168">
        <f>U26*(1+$R$84+$Q$15*S26/36500)</f>
        <v>203.35074410958904</v>
      </c>
      <c r="W26" s="32">
        <f t="shared" si="6"/>
        <v>207.41775899178083</v>
      </c>
      <c r="X26" s="32">
        <f t="shared" si="7"/>
        <v>211.48477387397261</v>
      </c>
      <c r="Y26" s="96"/>
      <c r="Z26" s="96"/>
      <c r="AH26" s="99">
        <v>7</v>
      </c>
      <c r="AI26" s="113" t="s">
        <v>1180</v>
      </c>
      <c r="AJ26" s="113">
        <v>18500000</v>
      </c>
      <c r="AK26" s="99">
        <v>1</v>
      </c>
      <c r="AL26" s="99">
        <f t="shared" si="9"/>
        <v>482</v>
      </c>
      <c r="AM26" s="113">
        <f t="shared" si="10"/>
        <v>8917000000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4453</v>
      </c>
      <c r="N27" s="113">
        <v>13158</v>
      </c>
      <c r="O27" s="69" t="s">
        <v>25</v>
      </c>
      <c r="P27" s="99" t="s">
        <v>25</v>
      </c>
      <c r="Q27" s="169">
        <v>350718</v>
      </c>
      <c r="R27" s="213" t="s">
        <v>4681</v>
      </c>
      <c r="S27" s="197">
        <f>S26-17</f>
        <v>199</v>
      </c>
      <c r="T27" s="213" t="s">
        <v>4682</v>
      </c>
      <c r="U27" s="213">
        <v>502.3</v>
      </c>
      <c r="V27" s="213">
        <f>U27*(1+$R$84+$Q$15*S27/36500)</f>
        <v>586.61483945205487</v>
      </c>
      <c r="W27" s="32">
        <f t="shared" si="6"/>
        <v>598.347136241096</v>
      </c>
      <c r="X27" s="32">
        <f t="shared" si="7"/>
        <v>610.07943303013712</v>
      </c>
      <c r="Y27" s="96"/>
      <c r="Z27" s="96"/>
      <c r="AH27" s="99">
        <v>8</v>
      </c>
      <c r="AI27" s="113" t="s">
        <v>1189</v>
      </c>
      <c r="AJ27" s="113">
        <v>-18550000</v>
      </c>
      <c r="AK27" s="99">
        <v>1</v>
      </c>
      <c r="AL27" s="99">
        <f t="shared" si="9"/>
        <v>481</v>
      </c>
      <c r="AM27" s="113">
        <f t="shared" si="10"/>
        <v>-8922550000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4406</v>
      </c>
      <c r="N28" s="113">
        <f t="shared" ref="N28:N30" si="12">O28*P28</f>
        <v>1486522.4</v>
      </c>
      <c r="O28" s="69">
        <v>2008</v>
      </c>
      <c r="P28" s="99">
        <f>P45</f>
        <v>740.3</v>
      </c>
      <c r="Q28" s="169">
        <v>17953742</v>
      </c>
      <c r="R28" s="213" t="s">
        <v>3683</v>
      </c>
      <c r="S28" s="197">
        <f>S27-15</f>
        <v>184</v>
      </c>
      <c r="T28" s="213" t="s">
        <v>4719</v>
      </c>
      <c r="U28" s="213">
        <v>486.4</v>
      </c>
      <c r="V28" s="213">
        <f>U28*(1+$R$84+$Q$15*S28/36500)</f>
        <v>562.44897315068488</v>
      </c>
      <c r="W28" s="32">
        <f t="shared" si="6"/>
        <v>573.69795261369859</v>
      </c>
      <c r="X28" s="32">
        <f t="shared" si="7"/>
        <v>584.9469320767123</v>
      </c>
      <c r="Y28" s="96"/>
      <c r="Z28" s="96"/>
      <c r="AH28" s="99">
        <v>9</v>
      </c>
      <c r="AI28" s="113" t="s">
        <v>1196</v>
      </c>
      <c r="AJ28" s="113">
        <v>-64961</v>
      </c>
      <c r="AK28" s="99">
        <v>5</v>
      </c>
      <c r="AL28" s="99">
        <f t="shared" si="9"/>
        <v>480</v>
      </c>
      <c r="AM28" s="113">
        <f t="shared" si="10"/>
        <v>-31181280</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5195</v>
      </c>
      <c r="N29" s="113">
        <f t="shared" si="12"/>
        <v>117140.40000000001</v>
      </c>
      <c r="O29" s="69">
        <v>117</v>
      </c>
      <c r="P29" s="99">
        <f>P47</f>
        <v>1001.2</v>
      </c>
      <c r="Q29" s="169">
        <v>9566181</v>
      </c>
      <c r="R29" s="213" t="s">
        <v>4720</v>
      </c>
      <c r="S29" s="197">
        <f>S28-1</f>
        <v>183</v>
      </c>
      <c r="T29" s="213" t="s">
        <v>4721</v>
      </c>
      <c r="U29" s="213">
        <v>476.1</v>
      </c>
      <c r="V29" s="213">
        <f>U29*(1+$R$84+$Q$15*S29/36500)</f>
        <v>550.17333369863024</v>
      </c>
      <c r="W29" s="32">
        <f t="shared" si="6"/>
        <v>561.17680037260288</v>
      </c>
      <c r="X29" s="32">
        <f t="shared" si="7"/>
        <v>572.18026704657552</v>
      </c>
      <c r="Y29" s="96"/>
      <c r="Z29" s="96"/>
      <c r="AH29" s="99">
        <v>10</v>
      </c>
      <c r="AI29" s="113" t="s">
        <v>1212</v>
      </c>
      <c r="AJ29" s="113">
        <v>6400000</v>
      </c>
      <c r="AK29" s="99">
        <v>1</v>
      </c>
      <c r="AL29" s="99">
        <f t="shared" si="9"/>
        <v>475</v>
      </c>
      <c r="AM29" s="113">
        <f t="shared" si="10"/>
        <v>3040000000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4432</v>
      </c>
      <c r="N30" s="113">
        <f t="shared" si="12"/>
        <v>89629859.200000003</v>
      </c>
      <c r="O30" s="69">
        <v>347942</v>
      </c>
      <c r="P30" s="99">
        <f>P48</f>
        <v>257.60000000000002</v>
      </c>
      <c r="Q30" s="169">
        <v>1563192</v>
      </c>
      <c r="R30" s="213" t="s">
        <v>4720</v>
      </c>
      <c r="S30" s="197">
        <f>S29</f>
        <v>183</v>
      </c>
      <c r="T30" s="213" t="s">
        <v>4722</v>
      </c>
      <c r="U30" s="213">
        <v>168.8</v>
      </c>
      <c r="V30" s="213">
        <f>U30*(1+$R$84+$Q$15*S30/36500)</f>
        <v>195.06250520547948</v>
      </c>
      <c r="W30" s="32">
        <f t="shared" ref="W30:W52" si="13">V30*(1+$W$19/100)</f>
        <v>198.96375530958909</v>
      </c>
      <c r="X30" s="32">
        <f t="shared" ref="X30:X52" si="14">V30*(1+$X$19/100)</f>
        <v>202.86500541369867</v>
      </c>
      <c r="Y30" s="96"/>
      <c r="Z30" s="96"/>
      <c r="AH30" s="99">
        <v>11</v>
      </c>
      <c r="AI30" s="113" t="s">
        <v>4054</v>
      </c>
      <c r="AJ30" s="113">
        <v>-170000</v>
      </c>
      <c r="AK30" s="99">
        <v>5</v>
      </c>
      <c r="AL30" s="99">
        <f t="shared" si="9"/>
        <v>474</v>
      </c>
      <c r="AM30" s="113">
        <f t="shared" si="10"/>
        <v>-80580000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P31" t="s">
        <v>25</v>
      </c>
      <c r="Q31" s="169">
        <v>15499033</v>
      </c>
      <c r="R31" s="213" t="s">
        <v>4738</v>
      </c>
      <c r="S31" s="197">
        <f>S30-6</f>
        <v>177</v>
      </c>
      <c r="T31" s="213" t="s">
        <v>4742</v>
      </c>
      <c r="U31" s="213">
        <v>525.1</v>
      </c>
      <c r="V31" s="213">
        <f>U31*(1+$R$84+$Q$15*S31/36500)</f>
        <v>604.38002958904121</v>
      </c>
      <c r="W31" s="32">
        <f t="shared" si="13"/>
        <v>616.46763018082208</v>
      </c>
      <c r="X31" s="32">
        <f t="shared" si="14"/>
        <v>628.55523077260284</v>
      </c>
      <c r="Y31" s="96"/>
      <c r="Z31" s="96"/>
      <c r="AH31" s="99">
        <v>12</v>
      </c>
      <c r="AI31" s="113" t="s">
        <v>1232</v>
      </c>
      <c r="AJ31" s="113">
        <v>-6300000</v>
      </c>
      <c r="AK31" s="99">
        <v>1</v>
      </c>
      <c r="AL31" s="99">
        <f>AL32+AK31</f>
        <v>469</v>
      </c>
      <c r="AM31" s="113">
        <f t="shared" si="10"/>
        <v>-2954700000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25</v>
      </c>
      <c r="L32" s="117"/>
      <c r="M32" s="168" t="s">
        <v>756</v>
      </c>
      <c r="N32" s="113">
        <v>3000000</v>
      </c>
      <c r="O32" t="s">
        <v>25</v>
      </c>
      <c r="P32" t="s">
        <v>25</v>
      </c>
      <c r="Q32" s="169">
        <v>30673673</v>
      </c>
      <c r="R32" s="213" t="s">
        <v>4746</v>
      </c>
      <c r="S32" s="197">
        <f>S31-1</f>
        <v>176</v>
      </c>
      <c r="T32" s="213" t="s">
        <v>4751</v>
      </c>
      <c r="U32" s="213">
        <v>529.79999999999995</v>
      </c>
      <c r="V32" s="213">
        <f>U32*(1+$R$84+$Q$15*S32/36500)</f>
        <v>609.38321753424657</v>
      </c>
      <c r="W32" s="32">
        <f t="shared" si="13"/>
        <v>621.57088188493151</v>
      </c>
      <c r="X32" s="32">
        <f t="shared" si="14"/>
        <v>633.75854623561645</v>
      </c>
      <c r="Y32" s="96"/>
      <c r="Z32" s="96"/>
      <c r="AH32" s="99">
        <v>13</v>
      </c>
      <c r="AI32" s="113" t="s">
        <v>1241</v>
      </c>
      <c r="AJ32" s="113">
        <v>-52015</v>
      </c>
      <c r="AK32" s="99">
        <v>16</v>
      </c>
      <c r="AL32" s="99">
        <f t="shared" si="9"/>
        <v>468</v>
      </c>
      <c r="AM32" s="113">
        <f t="shared" si="10"/>
        <v>-24343020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918</v>
      </c>
      <c r="L33" s="117">
        <v>4800000</v>
      </c>
      <c r="M33" s="168" t="s">
        <v>4148</v>
      </c>
      <c r="N33" s="113">
        <f>-S150</f>
        <v>-650534950.0302099</v>
      </c>
      <c r="O33" s="96" t="s">
        <v>25</v>
      </c>
      <c r="P33" s="96" t="s">
        <v>25</v>
      </c>
      <c r="Q33" s="169">
        <v>65651</v>
      </c>
      <c r="R33" s="213" t="s">
        <v>4845</v>
      </c>
      <c r="S33" s="197">
        <f>S32-21</f>
        <v>155</v>
      </c>
      <c r="T33" s="213" t="s">
        <v>5197</v>
      </c>
      <c r="U33" s="213">
        <v>587.29999999999995</v>
      </c>
      <c r="V33" s="213">
        <f>U33*(1+$R$84+$Q$15*S33/36500)</f>
        <v>666.0593435616438</v>
      </c>
      <c r="W33" s="32">
        <f t="shared" si="13"/>
        <v>679.38053043287664</v>
      </c>
      <c r="X33" s="32">
        <f t="shared" si="14"/>
        <v>692.70171730410959</v>
      </c>
      <c r="Y33" s="96"/>
      <c r="Z33" s="96"/>
      <c r="AH33" s="99">
        <v>14</v>
      </c>
      <c r="AI33" s="113" t="s">
        <v>3707</v>
      </c>
      <c r="AJ33" s="113">
        <v>20017400</v>
      </c>
      <c r="AK33" s="99">
        <v>0</v>
      </c>
      <c r="AL33" s="99">
        <f t="shared" si="9"/>
        <v>452</v>
      </c>
      <c r="AM33" s="113">
        <f t="shared" si="10"/>
        <v>9047864800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753</v>
      </c>
      <c r="N34" s="113">
        <v>500000</v>
      </c>
      <c r="O34" s="96" t="s">
        <v>25</v>
      </c>
      <c r="P34" s="122" t="s">
        <v>25</v>
      </c>
      <c r="Q34" s="169">
        <v>1204691</v>
      </c>
      <c r="R34" s="213" t="s">
        <v>4953</v>
      </c>
      <c r="S34" s="197">
        <f>S33-48</f>
        <v>107</v>
      </c>
      <c r="T34" s="213" t="s">
        <v>4954</v>
      </c>
      <c r="U34" s="213">
        <v>218.5</v>
      </c>
      <c r="V34" s="213">
        <f>U34*(1+$R$84+$Q$15*S34/36500)</f>
        <v>239.75615890410961</v>
      </c>
      <c r="W34" s="32">
        <f t="shared" si="13"/>
        <v>244.55128208219182</v>
      </c>
      <c r="X34" s="32">
        <f t="shared" si="14"/>
        <v>249.346405260274</v>
      </c>
      <c r="Y34" s="96"/>
      <c r="Z34" s="96"/>
      <c r="AH34" s="99">
        <v>15</v>
      </c>
      <c r="AI34" s="113" t="s">
        <v>3707</v>
      </c>
      <c r="AJ34" s="113">
        <v>1014466</v>
      </c>
      <c r="AK34" s="99">
        <v>12</v>
      </c>
      <c r="AL34" s="99">
        <f t="shared" si="9"/>
        <v>452</v>
      </c>
      <c r="AM34" s="113">
        <f t="shared" si="10"/>
        <v>458538632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1085</v>
      </c>
      <c r="L35" s="117">
        <f>'خرید و فروش سکه فیزیکی'!M48*10*P49</f>
        <v>0</v>
      </c>
      <c r="M35" s="168" t="s">
        <v>760</v>
      </c>
      <c r="N35" s="113">
        <v>1200000</v>
      </c>
      <c r="O35" t="s">
        <v>25</v>
      </c>
      <c r="P35" t="s">
        <v>25</v>
      </c>
      <c r="Q35" s="169">
        <v>15011877</v>
      </c>
      <c r="R35" s="213" t="s">
        <v>4957</v>
      </c>
      <c r="S35" s="197">
        <f>S34-3</f>
        <v>104</v>
      </c>
      <c r="T35" s="213" t="s">
        <v>4961</v>
      </c>
      <c r="U35" s="213">
        <v>197.1</v>
      </c>
      <c r="V35" s="213">
        <f>U35*(1+$R$84+$Q$15*S35/36500)</f>
        <v>215.82072000000002</v>
      </c>
      <c r="W35" s="32">
        <f t="shared" si="13"/>
        <v>220.13713440000004</v>
      </c>
      <c r="X35" s="32">
        <f t="shared" si="14"/>
        <v>224.45354880000002</v>
      </c>
      <c r="Y35" s="96" t="s">
        <v>25</v>
      </c>
      <c r="Z35" s="96" t="s">
        <v>25</v>
      </c>
      <c r="AH35" s="99">
        <v>16</v>
      </c>
      <c r="AI35" s="113" t="s">
        <v>1143</v>
      </c>
      <c r="AJ35" s="113">
        <v>360000</v>
      </c>
      <c r="AK35" s="99">
        <v>2</v>
      </c>
      <c r="AL35" s="99">
        <f t="shared" si="9"/>
        <v>440</v>
      </c>
      <c r="AM35" s="113">
        <f t="shared" si="10"/>
        <v>158400000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5043</v>
      </c>
      <c r="L36" s="117">
        <v>-47500000</v>
      </c>
      <c r="M36" s="73"/>
      <c r="N36" s="113"/>
      <c r="O36" s="96" t="s">
        <v>25</v>
      </c>
      <c r="P36" s="96" t="s">
        <v>25</v>
      </c>
      <c r="Q36" s="169">
        <v>12803120</v>
      </c>
      <c r="R36" s="213" t="s">
        <v>4970</v>
      </c>
      <c r="S36" s="197">
        <f>S35-5</f>
        <v>99</v>
      </c>
      <c r="T36" s="213" t="s">
        <v>4972</v>
      </c>
      <c r="U36" s="213">
        <v>194.4</v>
      </c>
      <c r="V36" s="213">
        <f>U36*(1+$R$84+$Q$15*S36/36500)</f>
        <v>212.1186279452055</v>
      </c>
      <c r="W36" s="32">
        <f t="shared" si="13"/>
        <v>216.36100050410963</v>
      </c>
      <c r="X36" s="32">
        <f t="shared" si="14"/>
        <v>220.60337306301372</v>
      </c>
      <c r="Y36" s="96" t="s">
        <v>25</v>
      </c>
      <c r="Z36" s="96"/>
      <c r="AH36" s="99">
        <v>17</v>
      </c>
      <c r="AI36" s="113" t="s">
        <v>3767</v>
      </c>
      <c r="AJ36" s="113">
        <v>-350000</v>
      </c>
      <c r="AK36" s="99">
        <v>0</v>
      </c>
      <c r="AL36" s="99">
        <f t="shared" si="9"/>
        <v>438</v>
      </c>
      <c r="AM36" s="113">
        <f t="shared" si="10"/>
        <v>-153300000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O37" s="96"/>
      <c r="P37" s="96" t="s">
        <v>25</v>
      </c>
      <c r="Q37" s="169">
        <v>100562</v>
      </c>
      <c r="R37" s="213" t="s">
        <v>4978</v>
      </c>
      <c r="S37" s="197">
        <f>S36-6</f>
        <v>93</v>
      </c>
      <c r="T37" s="213" t="s">
        <v>4979</v>
      </c>
      <c r="U37" s="213">
        <v>190.3</v>
      </c>
      <c r="V37" s="213">
        <f>U37*(1+$R$84+$Q$15*S37/36500)</f>
        <v>206.76903123287676</v>
      </c>
      <c r="W37" s="32">
        <f t="shared" si="13"/>
        <v>210.90441185753428</v>
      </c>
      <c r="X37" s="32">
        <f t="shared" si="14"/>
        <v>215.03979248219184</v>
      </c>
      <c r="Y37" s="96" t="s">
        <v>25</v>
      </c>
      <c r="Z37" s="96"/>
      <c r="AH37" s="99">
        <v>18</v>
      </c>
      <c r="AI37" s="113" t="s">
        <v>3767</v>
      </c>
      <c r="AJ37" s="113">
        <v>1000</v>
      </c>
      <c r="AK37" s="99">
        <v>1</v>
      </c>
      <c r="AL37" s="99">
        <f t="shared" si="9"/>
        <v>438</v>
      </c>
      <c r="AM37" s="113">
        <f t="shared" si="10"/>
        <v>438000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1"/>
        <v>382721938.80352634</v>
      </c>
      <c r="F38" s="3"/>
      <c r="G38" s="11"/>
      <c r="H38" s="11"/>
      <c r="J38" s="114"/>
      <c r="K38" s="168"/>
      <c r="L38" s="117"/>
      <c r="M38" s="168" t="s">
        <v>5041</v>
      </c>
      <c r="N38" s="113">
        <v>-18000000</v>
      </c>
      <c r="O38" s="244" t="s">
        <v>25</v>
      </c>
      <c r="P38" s="114"/>
      <c r="Q38" s="169">
        <v>198647697</v>
      </c>
      <c r="R38" s="213" t="s">
        <v>4982</v>
      </c>
      <c r="S38" s="197">
        <f>S37-2</f>
        <v>91</v>
      </c>
      <c r="T38" s="213" t="s">
        <v>5029</v>
      </c>
      <c r="U38" s="213">
        <v>195.5</v>
      </c>
      <c r="V38" s="213">
        <f>U38*(1+$R$84+$Q$15*S38/36500)</f>
        <v>212.1191068493151</v>
      </c>
      <c r="W38" s="32">
        <f t="shared" si="13"/>
        <v>216.3614889863014</v>
      </c>
      <c r="X38" s="32">
        <f t="shared" si="14"/>
        <v>220.60387112328772</v>
      </c>
      <c r="Y38" s="96" t="s">
        <v>25</v>
      </c>
      <c r="Z38" s="96"/>
      <c r="AH38" s="99">
        <v>19</v>
      </c>
      <c r="AI38" s="113" t="s">
        <v>3771</v>
      </c>
      <c r="AJ38" s="113">
        <v>33610000</v>
      </c>
      <c r="AK38" s="99">
        <v>4</v>
      </c>
      <c r="AL38" s="99">
        <f t="shared" si="9"/>
        <v>437</v>
      </c>
      <c r="AM38" s="113">
        <f t="shared" si="10"/>
        <v>14687570000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5042</v>
      </c>
      <c r="N39" s="113">
        <v>-47000000</v>
      </c>
      <c r="O39" s="96" t="s">
        <v>25</v>
      </c>
      <c r="P39" s="96" t="s">
        <v>25</v>
      </c>
      <c r="Q39" s="169">
        <v>9986627</v>
      </c>
      <c r="R39" s="213" t="s">
        <v>5031</v>
      </c>
      <c r="S39" s="197">
        <f>S38-21</f>
        <v>70</v>
      </c>
      <c r="T39" s="213" t="s">
        <v>5036</v>
      </c>
      <c r="U39" s="213">
        <v>200.2</v>
      </c>
      <c r="V39" s="213">
        <f>U39*(1+$R$84+$Q$15*S39/36500)</f>
        <v>213.99350575342467</v>
      </c>
      <c r="W39" s="32">
        <f t="shared" si="13"/>
        <v>218.27337586849316</v>
      </c>
      <c r="X39" s="32">
        <f t="shared" si="14"/>
        <v>222.55324598356165</v>
      </c>
      <c r="Y39" s="96"/>
      <c r="Z39" s="96"/>
      <c r="AA39" s="96"/>
      <c r="AB39" s="96"/>
      <c r="AC39" s="96"/>
      <c r="AD39" s="96"/>
      <c r="AH39" s="99">
        <v>20</v>
      </c>
      <c r="AI39" s="113" t="s">
        <v>4055</v>
      </c>
      <c r="AJ39" s="113">
        <v>-15600000</v>
      </c>
      <c r="AK39" s="99">
        <v>3</v>
      </c>
      <c r="AL39" s="99">
        <f t="shared" si="9"/>
        <v>433</v>
      </c>
      <c r="AM39" s="113">
        <f t="shared" si="10"/>
        <v>-6754800000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c r="N40" s="113"/>
      <c r="O40" s="96"/>
      <c r="P40" s="96" t="s">
        <v>25</v>
      </c>
      <c r="Q40" s="169">
        <v>499908</v>
      </c>
      <c r="R40" s="213" t="s">
        <v>5039</v>
      </c>
      <c r="S40" s="197">
        <f>S39-1</f>
        <v>69</v>
      </c>
      <c r="T40" s="213" t="s">
        <v>5044</v>
      </c>
      <c r="U40" s="213">
        <v>200</v>
      </c>
      <c r="V40" s="213">
        <f>U40*(1+$R$84+$Q$15*S40/36500)</f>
        <v>213.62630136986303</v>
      </c>
      <c r="W40" s="32">
        <f t="shared" si="13"/>
        <v>217.89882739726031</v>
      </c>
      <c r="X40" s="32">
        <f t="shared" si="14"/>
        <v>222.17135342465755</v>
      </c>
      <c r="Y40" s="96" t="s">
        <v>25</v>
      </c>
      <c r="Z40" s="96" t="s">
        <v>25</v>
      </c>
      <c r="AA40" s="96"/>
      <c r="AB40" s="96"/>
      <c r="AC40" s="96"/>
      <c r="AD40" s="96"/>
      <c r="AH40" s="99">
        <v>21</v>
      </c>
      <c r="AI40" s="113" t="s">
        <v>3785</v>
      </c>
      <c r="AJ40" s="113">
        <v>7500000</v>
      </c>
      <c r="AK40" s="99">
        <v>4</v>
      </c>
      <c r="AL40" s="99">
        <f t="shared" si="9"/>
        <v>430</v>
      </c>
      <c r="AM40" s="113">
        <f t="shared" si="10"/>
        <v>3225000000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t="s">
        <v>5178</v>
      </c>
      <c r="L41" s="117">
        <v>-1500000</v>
      </c>
      <c r="M41" s="168" t="s">
        <v>4452</v>
      </c>
      <c r="N41" s="113">
        <v>1965</v>
      </c>
      <c r="P41" t="s">
        <v>25</v>
      </c>
      <c r="Q41" s="169">
        <v>850188</v>
      </c>
      <c r="R41" s="213" t="s">
        <v>5047</v>
      </c>
      <c r="S41" s="197">
        <f>S40-1</f>
        <v>68</v>
      </c>
      <c r="T41" s="213" t="s">
        <v>5048</v>
      </c>
      <c r="U41" s="213">
        <v>201.9</v>
      </c>
      <c r="V41" s="213">
        <f>U41*(1+$R$84+$Q$15*S41/36500)</f>
        <v>215.50086904109594</v>
      </c>
      <c r="W41" s="32">
        <f t="shared" si="13"/>
        <v>219.81088642191787</v>
      </c>
      <c r="X41" s="32">
        <f t="shared" si="14"/>
        <v>224.12090380273978</v>
      </c>
      <c r="Y41" s="96"/>
      <c r="Z41" s="96"/>
      <c r="AA41" s="96"/>
      <c r="AB41" s="96"/>
      <c r="AC41" s="96"/>
      <c r="AD41" s="96"/>
      <c r="AH41" s="99">
        <v>22</v>
      </c>
      <c r="AI41" s="113" t="s">
        <v>4056</v>
      </c>
      <c r="AJ41" s="113">
        <v>-98000</v>
      </c>
      <c r="AK41" s="99">
        <v>1</v>
      </c>
      <c r="AL41" s="99">
        <f t="shared" si="9"/>
        <v>426</v>
      </c>
      <c r="AM41" s="113">
        <f t="shared" si="10"/>
        <v>-41748000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263" t="s">
        <v>5164</v>
      </c>
      <c r="L42" s="117">
        <v>-19795000</v>
      </c>
      <c r="M42" s="168"/>
      <c r="N42" s="113"/>
      <c r="O42" s="99"/>
      <c r="P42" s="99"/>
      <c r="Q42" s="169">
        <v>119890</v>
      </c>
      <c r="R42" s="213" t="s">
        <v>5061</v>
      </c>
      <c r="S42" s="197">
        <f>S41-6</f>
        <v>62</v>
      </c>
      <c r="T42" s="213" t="s">
        <v>5063</v>
      </c>
      <c r="U42" s="213">
        <v>210.1</v>
      </c>
      <c r="V42" s="213">
        <f>U42*(1+$R$84+$Q$15*S42/36500)</f>
        <v>223.286221369863</v>
      </c>
      <c r="W42" s="32">
        <f t="shared" si="13"/>
        <v>227.75194579726028</v>
      </c>
      <c r="X42" s="32">
        <f t="shared" si="14"/>
        <v>232.21767022465752</v>
      </c>
      <c r="Y42" s="115" t="s">
        <v>25</v>
      </c>
      <c r="Z42" s="115"/>
      <c r="AA42" s="115"/>
      <c r="AB42" s="115"/>
      <c r="AC42" s="115"/>
      <c r="AD42" s="115"/>
      <c r="AE42" s="115"/>
      <c r="AF42" s="115"/>
      <c r="AH42" s="99">
        <v>23</v>
      </c>
      <c r="AI42" s="113" t="s">
        <v>4050</v>
      </c>
      <c r="AJ42" s="113">
        <v>-26000000</v>
      </c>
      <c r="AK42" s="99">
        <v>0</v>
      </c>
      <c r="AL42" s="99">
        <f t="shared" si="9"/>
        <v>425</v>
      </c>
      <c r="AM42" s="113">
        <f t="shared" si="10"/>
        <v>-11050000000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99" t="s">
        <v>5154</v>
      </c>
      <c r="L43" s="117">
        <v>0</v>
      </c>
      <c r="M43" s="21" t="s">
        <v>4562</v>
      </c>
      <c r="N43" s="117">
        <f t="shared" ref="N43:N49" si="15">O43*P43</f>
        <v>16674</v>
      </c>
      <c r="O43" s="69">
        <v>10</v>
      </c>
      <c r="P43" s="69">
        <v>1667.4</v>
      </c>
      <c r="Q43" s="169">
        <v>102858</v>
      </c>
      <c r="R43" s="213" t="s">
        <v>5080</v>
      </c>
      <c r="S43" s="197">
        <f>S42-6</f>
        <v>56</v>
      </c>
      <c r="T43" s="213" t="s">
        <v>5083</v>
      </c>
      <c r="U43" s="213">
        <v>213.3</v>
      </c>
      <c r="V43" s="213">
        <f>U43*(1+$R$84+$Q$15*S43/36500)</f>
        <v>225.70529424657536</v>
      </c>
      <c r="W43" s="32">
        <f t="shared" si="13"/>
        <v>230.21940013150689</v>
      </c>
      <c r="X43" s="32">
        <f t="shared" si="14"/>
        <v>234.73350601643838</v>
      </c>
      <c r="Y43" s="115"/>
      <c r="Z43" s="115"/>
      <c r="AA43" s="115" t="s">
        <v>25</v>
      </c>
      <c r="AB43" s="115"/>
      <c r="AC43" s="115"/>
      <c r="AD43" s="115"/>
      <c r="AE43" s="115"/>
      <c r="AF43" s="115"/>
      <c r="AH43" s="99">
        <v>24</v>
      </c>
      <c r="AI43" s="113" t="s">
        <v>4050</v>
      </c>
      <c r="AJ43" s="113">
        <v>25000000</v>
      </c>
      <c r="AK43" s="99">
        <v>1</v>
      </c>
      <c r="AL43" s="99">
        <f t="shared" si="9"/>
        <v>425</v>
      </c>
      <c r="AM43" s="113">
        <f t="shared" si="10"/>
        <v>10625000000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1"/>
        <v>436629443.69564456</v>
      </c>
      <c r="F44" s="3"/>
      <c r="G44" s="11"/>
      <c r="H44" s="11"/>
      <c r="K44" s="36" t="s">
        <v>5145</v>
      </c>
      <c r="L44" s="117">
        <f>-31884*P48</f>
        <v>-8213318.4000000004</v>
      </c>
      <c r="M44" s="21" t="s">
        <v>4388</v>
      </c>
      <c r="N44" s="117">
        <f t="shared" si="15"/>
        <v>119195.79999999999</v>
      </c>
      <c r="O44" s="69">
        <v>29</v>
      </c>
      <c r="P44" s="69">
        <v>4110.2</v>
      </c>
      <c r="Q44" s="169">
        <v>9991144</v>
      </c>
      <c r="R44" s="213" t="s">
        <v>5087</v>
      </c>
      <c r="S44" s="197">
        <f>S43-2</f>
        <v>54</v>
      </c>
      <c r="T44" s="213" t="s">
        <v>5089</v>
      </c>
      <c r="U44" s="213">
        <v>221</v>
      </c>
      <c r="V44" s="213">
        <f>U44*(1+$R$84+$Q$15*S44/36500)</f>
        <v>233.51404931506849</v>
      </c>
      <c r="W44" s="32">
        <f t="shared" si="13"/>
        <v>238.18433030136987</v>
      </c>
      <c r="X44" s="32">
        <f t="shared" si="14"/>
        <v>242.85461128767125</v>
      </c>
      <c r="Y44" s="115" t="s">
        <v>25</v>
      </c>
      <c r="Z44" s="115"/>
      <c r="AA44" s="115"/>
      <c r="AB44" s="115"/>
      <c r="AC44" s="115"/>
      <c r="AD44" s="115" t="s">
        <v>25</v>
      </c>
      <c r="AE44" s="115"/>
      <c r="AF44" s="115"/>
      <c r="AH44" s="99">
        <v>25</v>
      </c>
      <c r="AI44" s="113" t="s">
        <v>4051</v>
      </c>
      <c r="AJ44" s="113">
        <v>110000</v>
      </c>
      <c r="AK44" s="99">
        <v>1</v>
      </c>
      <c r="AL44" s="99">
        <f t="shared" si="9"/>
        <v>424</v>
      </c>
      <c r="AM44" s="113">
        <f t="shared" si="10"/>
        <v>46640000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c r="L45" s="117"/>
      <c r="M45" s="19" t="s">
        <v>4406</v>
      </c>
      <c r="N45" s="117">
        <f t="shared" si="15"/>
        <v>69275793.399999991</v>
      </c>
      <c r="O45" s="69">
        <v>93578</v>
      </c>
      <c r="P45" s="69">
        <v>740.3</v>
      </c>
      <c r="Q45" s="169">
        <v>23124984</v>
      </c>
      <c r="R45" s="213" t="s">
        <v>5121</v>
      </c>
      <c r="S45" s="197">
        <f>S44-19</f>
        <v>35</v>
      </c>
      <c r="T45" s="213" t="s">
        <v>5124</v>
      </c>
      <c r="U45" s="213">
        <v>234</v>
      </c>
      <c r="V45" s="213">
        <f>U45*(1+$R$84+$Q$15*S45/36500)</f>
        <v>243.83953972602743</v>
      </c>
      <c r="W45" s="32">
        <f t="shared" si="13"/>
        <v>248.71633052054798</v>
      </c>
      <c r="X45" s="32">
        <f t="shared" si="14"/>
        <v>253.59312131506854</v>
      </c>
      <c r="Y45" s="115"/>
      <c r="Z45" s="115"/>
      <c r="AA45" s="115"/>
      <c r="AB45" s="115"/>
      <c r="AC45" s="115" t="s">
        <v>25</v>
      </c>
      <c r="AD45" s="115" t="s">
        <v>25</v>
      </c>
      <c r="AE45" s="115"/>
      <c r="AF45" s="115" t="s">
        <v>25</v>
      </c>
      <c r="AH45" s="99">
        <v>26</v>
      </c>
      <c r="AI45" s="113" t="s">
        <v>3800</v>
      </c>
      <c r="AJ45" s="113">
        <v>380000</v>
      </c>
      <c r="AK45" s="99">
        <v>7</v>
      </c>
      <c r="AL45" s="99">
        <f t="shared" si="9"/>
        <v>423</v>
      </c>
      <c r="AM45" s="113">
        <f t="shared" si="10"/>
        <v>160740000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99"/>
      <c r="L46" s="117"/>
      <c r="M46" s="19" t="s">
        <v>4392</v>
      </c>
      <c r="N46" s="117">
        <f t="shared" si="15"/>
        <v>112356</v>
      </c>
      <c r="O46" s="69">
        <v>18</v>
      </c>
      <c r="P46" s="69">
        <v>6242</v>
      </c>
      <c r="Q46" s="169">
        <v>38750692</v>
      </c>
      <c r="R46" s="213" t="s">
        <v>5125</v>
      </c>
      <c r="S46" s="197">
        <f>S45-1</f>
        <v>34</v>
      </c>
      <c r="T46" s="213" t="s">
        <v>5217</v>
      </c>
      <c r="U46" s="213">
        <v>224</v>
      </c>
      <c r="V46" s="213">
        <f>U46*(1+$R$84+$Q$15*S46/36500)</f>
        <v>233.24721095890411</v>
      </c>
      <c r="W46" s="32">
        <f t="shared" si="13"/>
        <v>237.9121551780822</v>
      </c>
      <c r="X46" s="32">
        <f t="shared" si="14"/>
        <v>242.57709939726027</v>
      </c>
      <c r="Y46" s="115" t="s">
        <v>25</v>
      </c>
      <c r="Z46" s="115"/>
      <c r="AA46" s="115"/>
      <c r="AB46" s="115"/>
      <c r="AC46" s="115"/>
      <c r="AD46" s="115"/>
      <c r="AE46" s="115"/>
      <c r="AF46" s="115"/>
      <c r="AH46" s="99">
        <v>27</v>
      </c>
      <c r="AI46" s="113" t="s">
        <v>3886</v>
      </c>
      <c r="AJ46" s="113">
        <v>450000</v>
      </c>
      <c r="AK46" s="99">
        <v>6</v>
      </c>
      <c r="AL46" s="99">
        <f t="shared" si="9"/>
        <v>416</v>
      </c>
      <c r="AM46" s="113">
        <f t="shared" si="10"/>
        <v>187200000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K47" s="99"/>
      <c r="L47" s="117"/>
      <c r="M47" s="19" t="s">
        <v>5195</v>
      </c>
      <c r="N47" s="117">
        <f t="shared" si="15"/>
        <v>117140.40000000001</v>
      </c>
      <c r="O47" s="69">
        <v>117</v>
      </c>
      <c r="P47" s="69">
        <v>1001.2</v>
      </c>
      <c r="Q47" s="169">
        <v>196926</v>
      </c>
      <c r="R47" s="213" t="s">
        <v>5166</v>
      </c>
      <c r="S47" s="197">
        <f>S46-19</f>
        <v>15</v>
      </c>
      <c r="T47" s="213" t="s">
        <v>5167</v>
      </c>
      <c r="U47" s="213">
        <v>4083.7</v>
      </c>
      <c r="V47" s="213">
        <f>U47*(1+$R$84+$Q$15*S47/36500)</f>
        <v>4192.7627605479456</v>
      </c>
      <c r="W47" s="32">
        <f t="shared" si="13"/>
        <v>4276.6180157589042</v>
      </c>
      <c r="X47" s="32">
        <f t="shared" si="14"/>
        <v>4360.4732709698637</v>
      </c>
      <c r="Y47" s="122" t="s">
        <v>25</v>
      </c>
      <c r="Z47" s="115"/>
      <c r="AA47" s="115"/>
      <c r="AB47" s="115"/>
      <c r="AC47" s="115"/>
      <c r="AD47" s="115" t="s">
        <v>25</v>
      </c>
      <c r="AE47" s="115"/>
      <c r="AF47" s="115"/>
      <c r="AH47" s="99">
        <v>28</v>
      </c>
      <c r="AI47" s="113" t="s">
        <v>3910</v>
      </c>
      <c r="AJ47" s="113">
        <v>2800000</v>
      </c>
      <c r="AK47" s="99">
        <v>1</v>
      </c>
      <c r="AL47" s="99">
        <f t="shared" si="9"/>
        <v>410</v>
      </c>
      <c r="AM47" s="113">
        <f t="shared" si="10"/>
        <v>1148000000</v>
      </c>
      <c r="AN47" s="99"/>
      <c r="AQ47" s="96"/>
      <c r="AR47" s="96"/>
      <c r="AS47" s="96"/>
    </row>
    <row r="48" spans="1:54" ht="30">
      <c r="A48" s="64">
        <v>99</v>
      </c>
      <c r="B48" s="64">
        <v>46</v>
      </c>
      <c r="C48" s="65">
        <f t="shared" si="4"/>
        <v>5068718.8114048904</v>
      </c>
      <c r="D48" s="65">
        <f t="shared" si="5"/>
        <v>4117466.1029631514</v>
      </c>
      <c r="E48" s="65">
        <f t="shared" si="11"/>
        <v>476483646.68171477</v>
      </c>
      <c r="F48" s="3"/>
      <c r="G48" s="11"/>
      <c r="H48" s="11" t="s">
        <v>611</v>
      </c>
      <c r="K48" s="263" t="s">
        <v>5165</v>
      </c>
      <c r="L48" s="117">
        <f>151067*P48+500*P44</f>
        <v>40969959.200000003</v>
      </c>
      <c r="M48" s="19" t="s">
        <v>4178</v>
      </c>
      <c r="N48" s="113">
        <f t="shared" si="15"/>
        <v>789735654.4000001</v>
      </c>
      <c r="O48" s="99">
        <v>3065744</v>
      </c>
      <c r="P48" s="99">
        <v>257.60000000000002</v>
      </c>
      <c r="Q48" s="169">
        <v>500584</v>
      </c>
      <c r="R48" s="213" t="s">
        <v>5172</v>
      </c>
      <c r="S48" s="197">
        <f>S47-1</f>
        <v>14</v>
      </c>
      <c r="T48" s="213" t="s">
        <v>5173</v>
      </c>
      <c r="U48" s="213">
        <v>4051</v>
      </c>
      <c r="V48" s="213">
        <f>U48*(1+$R$84+$Q$15*S48/36500)</f>
        <v>4156.0818301369873</v>
      </c>
      <c r="W48" s="32">
        <f t="shared" si="13"/>
        <v>4239.2034667397274</v>
      </c>
      <c r="X48" s="32">
        <f t="shared" si="14"/>
        <v>4322.3251033424667</v>
      </c>
      <c r="Y48" s="115" t="s">
        <v>25</v>
      </c>
      <c r="Z48" s="115"/>
      <c r="AA48" s="115"/>
      <c r="AB48" s="115" t="s">
        <v>25</v>
      </c>
      <c r="AC48" s="115"/>
      <c r="AD48" s="115"/>
      <c r="AE48" s="115"/>
      <c r="AF48" s="115"/>
      <c r="AH48" s="99">
        <v>29</v>
      </c>
      <c r="AI48" s="113" t="s">
        <v>3911</v>
      </c>
      <c r="AJ48" s="113">
        <v>-1500000</v>
      </c>
      <c r="AK48" s="99">
        <v>0</v>
      </c>
      <c r="AL48" s="99">
        <f t="shared" si="9"/>
        <v>409</v>
      </c>
      <c r="AM48" s="113">
        <f t="shared" si="10"/>
        <v>-613500000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21" t="s">
        <v>1085</v>
      </c>
      <c r="N49" s="117">
        <f t="shared" si="15"/>
        <v>0</v>
      </c>
      <c r="O49" s="69">
        <v>0</v>
      </c>
      <c r="P49" s="69">
        <v>405000</v>
      </c>
      <c r="Q49" s="169">
        <v>98735</v>
      </c>
      <c r="R49" s="213" t="s">
        <v>5192</v>
      </c>
      <c r="S49" s="197">
        <f>S48-14</f>
        <v>0</v>
      </c>
      <c r="T49" s="213" t="s">
        <v>5196</v>
      </c>
      <c r="U49" s="213">
        <v>840</v>
      </c>
      <c r="V49" s="213">
        <f>U49*(1+$R$84+$Q$15*S49/36500)</f>
        <v>852.76800000000003</v>
      </c>
      <c r="W49" s="32">
        <f t="shared" si="13"/>
        <v>869.82336000000009</v>
      </c>
      <c r="X49" s="32">
        <f t="shared" si="14"/>
        <v>886.87872000000004</v>
      </c>
      <c r="Y49" s="122" t="s">
        <v>25</v>
      </c>
      <c r="AC49" t="s">
        <v>25</v>
      </c>
      <c r="AD49" t="s">
        <v>25</v>
      </c>
      <c r="AF49" s="115"/>
      <c r="AH49" s="99">
        <v>30</v>
      </c>
      <c r="AI49" s="113" t="s">
        <v>3911</v>
      </c>
      <c r="AJ49" s="113">
        <v>3050000</v>
      </c>
      <c r="AK49" s="99">
        <v>3</v>
      </c>
      <c r="AL49" s="99">
        <f>AL50+AK49</f>
        <v>409</v>
      </c>
      <c r="AM49" s="113">
        <f t="shared" si="10"/>
        <v>1247450000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73"/>
      <c r="N50" s="117"/>
      <c r="O50" s="122"/>
      <c r="P50" s="122"/>
      <c r="Q50" s="169">
        <v>608751</v>
      </c>
      <c r="R50" s="213" t="s">
        <v>5202</v>
      </c>
      <c r="S50" s="197">
        <f>S49-6</f>
        <v>-6</v>
      </c>
      <c r="T50" s="213" t="s">
        <v>5207</v>
      </c>
      <c r="U50" s="213">
        <v>6060</v>
      </c>
      <c r="V50" s="213">
        <f>U50*(1+$R$84+$Q$15*S50/36500)</f>
        <v>6124.2193972602754</v>
      </c>
      <c r="W50" s="32">
        <f t="shared" si="13"/>
        <v>6246.7037852054809</v>
      </c>
      <c r="X50" s="32">
        <f t="shared" si="14"/>
        <v>6369.1881731506865</v>
      </c>
      <c r="Y50" t="s">
        <v>25</v>
      </c>
      <c r="AA50" s="96"/>
      <c r="AH50" s="99">
        <v>31</v>
      </c>
      <c r="AI50" s="113" t="s">
        <v>3935</v>
      </c>
      <c r="AJ50" s="113">
        <v>-8299612</v>
      </c>
      <c r="AK50" s="99">
        <v>2</v>
      </c>
      <c r="AL50" s="99">
        <f t="shared" si="9"/>
        <v>406</v>
      </c>
      <c r="AM50" s="113">
        <f t="shared" si="10"/>
        <v>-3369642472</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68" t="s">
        <v>1151</v>
      </c>
      <c r="N51" s="117">
        <v>14908</v>
      </c>
      <c r="O51" s="96" t="s">
        <v>25</v>
      </c>
      <c r="P51" t="s">
        <v>25</v>
      </c>
      <c r="Q51" s="169">
        <v>1227296</v>
      </c>
      <c r="R51" s="213" t="s">
        <v>5212</v>
      </c>
      <c r="S51" s="197">
        <f>S50-1</f>
        <v>-7</v>
      </c>
      <c r="T51" s="213" t="s">
        <v>5216</v>
      </c>
      <c r="U51" s="213">
        <v>6108</v>
      </c>
      <c r="V51" s="213">
        <f>U51*(1+$R$84+$Q$15*S51/36500)</f>
        <v>6168.0424767123295</v>
      </c>
      <c r="W51" s="32">
        <f t="shared" si="13"/>
        <v>6291.4033262465764</v>
      </c>
      <c r="X51" s="32">
        <f t="shared" si="14"/>
        <v>6414.7641757808233</v>
      </c>
      <c r="AA51" s="96"/>
      <c r="AH51" s="99">
        <v>32</v>
      </c>
      <c r="AI51" s="113" t="s">
        <v>3930</v>
      </c>
      <c r="AJ51" s="113">
        <v>5000000</v>
      </c>
      <c r="AK51" s="99">
        <v>14</v>
      </c>
      <c r="AL51" s="99">
        <f t="shared" si="9"/>
        <v>404</v>
      </c>
      <c r="AM51" s="113">
        <f t="shared" si="10"/>
        <v>2020000000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99"/>
      <c r="L52" s="117"/>
      <c r="M52" s="168" t="s">
        <v>1152</v>
      </c>
      <c r="N52" s="117">
        <v>5282</v>
      </c>
      <c r="O52" s="96" t="s">
        <v>25</v>
      </c>
      <c r="P52" t="s">
        <v>25</v>
      </c>
      <c r="Q52" s="169" t="s">
        <v>25</v>
      </c>
      <c r="R52" s="168"/>
      <c r="S52" s="168"/>
      <c r="T52" s="168"/>
      <c r="U52" s="168"/>
      <c r="V52" s="213">
        <f>U52*(1+$R$84+$Q$15*S52/36500)</f>
        <v>0</v>
      </c>
      <c r="W52" s="32">
        <f t="shared" si="13"/>
        <v>0</v>
      </c>
      <c r="X52" s="32">
        <f t="shared" si="14"/>
        <v>0</v>
      </c>
      <c r="Y52" t="s">
        <v>25</v>
      </c>
      <c r="AA52" s="96"/>
      <c r="AH52" s="99">
        <v>33</v>
      </c>
      <c r="AI52" s="113" t="s">
        <v>989</v>
      </c>
      <c r="AJ52" s="113">
        <v>-90000</v>
      </c>
      <c r="AK52" s="99">
        <v>1</v>
      </c>
      <c r="AL52" s="99">
        <f t="shared" si="9"/>
        <v>390</v>
      </c>
      <c r="AM52" s="113">
        <f t="shared" si="10"/>
        <v>-35100000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168"/>
      <c r="N53" s="113"/>
      <c r="O53" s="115"/>
      <c r="P53" s="115"/>
      <c r="Q53" s="169">
        <f>SUM(N21:N25)-SUM(Q20:Q52)</f>
        <v>123710836.80000001</v>
      </c>
      <c r="R53" s="168"/>
      <c r="S53" s="168" t="s">
        <v>25</v>
      </c>
      <c r="T53" s="168"/>
      <c r="U53" s="168"/>
      <c r="V53" s="168"/>
      <c r="W53" s="32"/>
      <c r="X53" s="32"/>
      <c r="Y53" t="s">
        <v>25</v>
      </c>
      <c r="Z53" t="s">
        <v>25</v>
      </c>
      <c r="AH53" s="99">
        <v>34</v>
      </c>
      <c r="AI53" s="113" t="s">
        <v>4052</v>
      </c>
      <c r="AJ53" s="113">
        <v>5600000</v>
      </c>
      <c r="AK53" s="99">
        <v>4</v>
      </c>
      <c r="AL53" s="99">
        <f t="shared" si="9"/>
        <v>389</v>
      </c>
      <c r="AM53" s="113">
        <f t="shared" si="10"/>
        <v>2178400000</v>
      </c>
      <c r="AN53" s="99"/>
    </row>
    <row r="54" spans="1:45">
      <c r="A54" s="63">
        <v>1400</v>
      </c>
      <c r="B54" s="11">
        <v>52</v>
      </c>
      <c r="C54" s="49">
        <f t="shared" si="4"/>
        <v>5380547.1560366414</v>
      </c>
      <c r="D54" s="3">
        <f t="shared" si="5"/>
        <v>4370773.2377119577</v>
      </c>
      <c r="E54" s="3">
        <f t="shared" si="11"/>
        <v>542808580.73450804</v>
      </c>
      <c r="F54" s="3"/>
      <c r="G54" s="11"/>
      <c r="H54" s="11"/>
      <c r="K54" s="168"/>
      <c r="L54" s="117"/>
      <c r="M54" s="168"/>
      <c r="N54" s="113"/>
      <c r="O54" s="99"/>
      <c r="P54" s="99"/>
      <c r="R54" s="115" t="s">
        <v>25</v>
      </c>
      <c r="S54" s="115" t="s">
        <v>25</v>
      </c>
      <c r="T54" s="122" t="s">
        <v>25</v>
      </c>
      <c r="U54" s="115" t="s">
        <v>25</v>
      </c>
      <c r="V54" s="115" t="s">
        <v>25</v>
      </c>
      <c r="W54" s="194" t="s">
        <v>25</v>
      </c>
      <c r="X54" s="194"/>
      <c r="Y54" t="s">
        <v>25</v>
      </c>
      <c r="AH54" s="99">
        <v>35</v>
      </c>
      <c r="AI54" s="113" t="s">
        <v>3980</v>
      </c>
      <c r="AJ54" s="113">
        <v>750000</v>
      </c>
      <c r="AK54" s="99">
        <v>2</v>
      </c>
      <c r="AL54" s="99">
        <f t="shared" si="9"/>
        <v>385</v>
      </c>
      <c r="AM54" s="113">
        <f t="shared" si="10"/>
        <v>288750000</v>
      </c>
      <c r="AN54" s="99"/>
    </row>
    <row r="55" spans="1:45">
      <c r="A55" s="63">
        <v>1400</v>
      </c>
      <c r="B55" s="11">
        <v>53</v>
      </c>
      <c r="C55" s="49">
        <f t="shared" si="4"/>
        <v>5434352.6275970079</v>
      </c>
      <c r="D55" s="3">
        <f t="shared" si="5"/>
        <v>4414480.970089077</v>
      </c>
      <c r="E55" s="3">
        <f t="shared" si="11"/>
        <v>554684624.00670612</v>
      </c>
      <c r="F55" s="3"/>
      <c r="G55" s="11"/>
      <c r="H55" s="11"/>
      <c r="K55" s="168"/>
      <c r="L55" s="117"/>
      <c r="M55" s="168"/>
      <c r="N55" s="113"/>
      <c r="Q55" s="96"/>
      <c r="R55" s="115" t="s">
        <v>25</v>
      </c>
      <c r="S55" s="115"/>
      <c r="T55" s="115" t="s">
        <v>25</v>
      </c>
      <c r="U55" s="115" t="s">
        <v>25</v>
      </c>
      <c r="V55" s="115"/>
      <c r="W55" s="194"/>
      <c r="X55" s="194" t="s">
        <v>25</v>
      </c>
      <c r="Y55" t="s">
        <v>25</v>
      </c>
      <c r="AH55" s="171">
        <v>36</v>
      </c>
      <c r="AI55" s="170" t="s">
        <v>3990</v>
      </c>
      <c r="AJ55" s="170">
        <v>-4242000</v>
      </c>
      <c r="AK55" s="171">
        <v>2</v>
      </c>
      <c r="AL55" s="171">
        <f t="shared" si="9"/>
        <v>383</v>
      </c>
      <c r="AM55" s="170">
        <f t="shared" si="10"/>
        <v>-1624686000</v>
      </c>
      <c r="AN55" s="171" t="s">
        <v>4061</v>
      </c>
    </row>
    <row r="56" spans="1:45">
      <c r="A56" s="63">
        <v>1400</v>
      </c>
      <c r="B56" s="11">
        <v>54</v>
      </c>
      <c r="C56" s="49">
        <f t="shared" si="4"/>
        <v>5488696.1538729779</v>
      </c>
      <c r="D56" s="3">
        <f t="shared" si="5"/>
        <v>4458625.7797899675</v>
      </c>
      <c r="E56" s="3">
        <f t="shared" si="11"/>
        <v>566808386.86092329</v>
      </c>
      <c r="F56" s="3"/>
      <c r="G56" s="11"/>
      <c r="H56" s="11"/>
      <c r="K56" s="168"/>
      <c r="L56" s="117"/>
      <c r="M56" s="168"/>
      <c r="N56" s="113"/>
      <c r="O56" t="s">
        <v>25</v>
      </c>
      <c r="Q56" s="168" t="s">
        <v>657</v>
      </c>
      <c r="R56" s="168"/>
      <c r="S56" s="168"/>
      <c r="T56" s="168"/>
      <c r="U56" s="168"/>
      <c r="V56" s="168"/>
      <c r="W56" s="32"/>
      <c r="X56" s="32"/>
      <c r="Y56" s="96" t="s">
        <v>25</v>
      </c>
      <c r="AH56" s="99">
        <v>37</v>
      </c>
      <c r="AI56" s="113" t="s">
        <v>3990</v>
      </c>
      <c r="AJ56" s="113">
        <v>4100000</v>
      </c>
      <c r="AK56" s="99">
        <v>0</v>
      </c>
      <c r="AL56" s="99">
        <f t="shared" si="9"/>
        <v>381</v>
      </c>
      <c r="AM56" s="113">
        <f t="shared" si="10"/>
        <v>1562100000</v>
      </c>
      <c r="AN56" s="99"/>
    </row>
    <row r="57" spans="1:45" ht="30">
      <c r="A57" s="63">
        <v>1400</v>
      </c>
      <c r="B57" s="11">
        <v>55</v>
      </c>
      <c r="C57" s="50">
        <f t="shared" si="4"/>
        <v>5543583.1154117081</v>
      </c>
      <c r="D57" s="3">
        <f t="shared" si="5"/>
        <v>4503212.0375878671</v>
      </c>
      <c r="E57" s="3">
        <f t="shared" si="11"/>
        <v>579184925.67596567</v>
      </c>
      <c r="F57" s="3"/>
      <c r="G57" s="11"/>
      <c r="H57" s="11"/>
      <c r="K57" s="168"/>
      <c r="L57" s="117"/>
      <c r="M57" s="168" t="s">
        <v>4439</v>
      </c>
      <c r="N57" s="113">
        <f>-S151</f>
        <v>-21814374.923994943</v>
      </c>
      <c r="Q57" s="168" t="s">
        <v>267</v>
      </c>
      <c r="R57" s="168" t="s">
        <v>180</v>
      </c>
      <c r="S57" s="168" t="s">
        <v>183</v>
      </c>
      <c r="T57" s="168" t="s">
        <v>8</v>
      </c>
      <c r="U57" s="168" t="s">
        <v>4361</v>
      </c>
      <c r="V57" s="73" t="s">
        <v>4363</v>
      </c>
      <c r="W57" s="32">
        <v>2</v>
      </c>
      <c r="X57" s="32">
        <v>4</v>
      </c>
      <c r="Y57" t="s">
        <v>25</v>
      </c>
      <c r="AH57" s="99">
        <v>38</v>
      </c>
      <c r="AI57" s="113" t="s">
        <v>3996</v>
      </c>
      <c r="AJ57" s="113">
        <v>4100000</v>
      </c>
      <c r="AK57" s="99">
        <v>1</v>
      </c>
      <c r="AL57" s="99">
        <f t="shared" si="9"/>
        <v>381</v>
      </c>
      <c r="AM57" s="113">
        <f t="shared" si="10"/>
        <v>1562100000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P58" t="s">
        <v>25</v>
      </c>
      <c r="Q58" s="168">
        <v>0</v>
      </c>
      <c r="R58" s="168" t="s">
        <v>4171</v>
      </c>
      <c r="S58" s="168">
        <f>S88</f>
        <v>331</v>
      </c>
      <c r="T58" s="168"/>
      <c r="U58" s="168"/>
      <c r="V58" s="73"/>
      <c r="W58" s="32"/>
      <c r="X58" s="32"/>
      <c r="Y58" t="s">
        <v>25</v>
      </c>
      <c r="AH58" s="99">
        <v>39</v>
      </c>
      <c r="AI58" s="113" t="s">
        <v>4005</v>
      </c>
      <c r="AJ58" s="113">
        <v>790000</v>
      </c>
      <c r="AK58" s="99">
        <v>15</v>
      </c>
      <c r="AL58" s="99">
        <f t="shared" si="9"/>
        <v>380</v>
      </c>
      <c r="AM58" s="113">
        <f t="shared" si="10"/>
        <v>300200000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O59" t="s">
        <v>25</v>
      </c>
      <c r="P59" t="s">
        <v>25</v>
      </c>
      <c r="Q59" s="169">
        <v>863944</v>
      </c>
      <c r="R59" s="168" t="s">
        <v>4431</v>
      </c>
      <c r="S59" s="168">
        <f>S58-62</f>
        <v>269</v>
      </c>
      <c r="T59" s="190" t="s">
        <v>4503</v>
      </c>
      <c r="U59" s="168">
        <v>184.6</v>
      </c>
      <c r="V59" s="168">
        <f>U59*(1+$R$84+$Q$15*S59/36500)</f>
        <v>225.4992679452055</v>
      </c>
      <c r="W59" s="32">
        <f t="shared" ref="W59:W79" si="16">V59*(1+$W$19/100)</f>
        <v>230.00925330410962</v>
      </c>
      <c r="X59" s="32">
        <f t="shared" ref="X59:X79" si="17">V59*(1+$X$19/100)</f>
        <v>234.51923866301374</v>
      </c>
      <c r="Y59" t="s">
        <v>25</v>
      </c>
      <c r="Z59" s="96"/>
      <c r="AA59" s="96"/>
      <c r="AB59" s="96"/>
      <c r="AC59" s="96"/>
      <c r="AH59" s="171">
        <v>40</v>
      </c>
      <c r="AI59" s="170" t="s">
        <v>4036</v>
      </c>
      <c r="AJ59" s="170">
        <v>-3865000</v>
      </c>
      <c r="AK59" s="171">
        <v>6</v>
      </c>
      <c r="AL59" s="171">
        <f t="shared" si="9"/>
        <v>365</v>
      </c>
      <c r="AM59" s="172">
        <f t="shared" si="10"/>
        <v>-1410725000</v>
      </c>
      <c r="AN59" s="171" t="s">
        <v>4062</v>
      </c>
    </row>
    <row r="60" spans="1:45">
      <c r="A60" s="63">
        <v>1400</v>
      </c>
      <c r="B60" s="11">
        <v>58</v>
      </c>
      <c r="C60" s="3">
        <f t="shared" si="4"/>
        <v>5711559.227391799</v>
      </c>
      <c r="D60" s="3">
        <f t="shared" si="5"/>
        <v>4639663.8655388169</v>
      </c>
      <c r="E60" s="3">
        <f t="shared" si="11"/>
        <v>617883306.24587286</v>
      </c>
      <c r="F60" s="3"/>
      <c r="G60" s="11"/>
      <c r="H60" s="11"/>
      <c r="K60" s="168" t="s">
        <v>598</v>
      </c>
      <c r="L60" s="113">
        <f>SUM(L16:L45)</f>
        <v>557033799.63020992</v>
      </c>
      <c r="M60" s="168"/>
      <c r="N60" s="113">
        <f>SUM(N16:N59)</f>
        <v>746497657.84579527</v>
      </c>
      <c r="Q60" s="169">
        <v>1692313</v>
      </c>
      <c r="R60" s="168" t="s">
        <v>4506</v>
      </c>
      <c r="S60" s="197">
        <f>S59-21</f>
        <v>248</v>
      </c>
      <c r="T60" s="189" t="s">
        <v>4507</v>
      </c>
      <c r="U60" s="168">
        <v>168.5</v>
      </c>
      <c r="V60" s="168">
        <f>U60*(1+$R$84+$Q$15*S60/36500)</f>
        <v>203.11774794520551</v>
      </c>
      <c r="W60" s="32">
        <f t="shared" si="16"/>
        <v>207.18010290410962</v>
      </c>
      <c r="X60" s="32">
        <f t="shared" si="17"/>
        <v>211.24245786301373</v>
      </c>
      <c r="Y60" t="s">
        <v>25</v>
      </c>
      <c r="Z60" s="96" t="s">
        <v>25</v>
      </c>
      <c r="AA60" s="96"/>
      <c r="AB60" s="96"/>
      <c r="AC60" s="96"/>
      <c r="AH60" s="20">
        <v>41</v>
      </c>
      <c r="AI60" s="117" t="s">
        <v>4066</v>
      </c>
      <c r="AJ60" s="117">
        <v>18800000</v>
      </c>
      <c r="AK60" s="20">
        <v>3</v>
      </c>
      <c r="AL60" s="99">
        <f t="shared" si="9"/>
        <v>359</v>
      </c>
      <c r="AM60" s="113">
        <f t="shared" si="10"/>
        <v>6749200000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t="s">
        <v>599</v>
      </c>
      <c r="L61" s="113">
        <f>L16+L17+L27</f>
        <v>673077</v>
      </c>
      <c r="M61" s="168"/>
      <c r="N61" s="113">
        <f>N16+N17+N34</f>
        <v>641053</v>
      </c>
      <c r="Q61" s="169">
        <v>101153</v>
      </c>
      <c r="R61" s="168" t="s">
        <v>4509</v>
      </c>
      <c r="S61" s="197">
        <f>S60-1</f>
        <v>247</v>
      </c>
      <c r="T61" s="189" t="s">
        <v>4511</v>
      </c>
      <c r="U61" s="168">
        <v>166.7</v>
      </c>
      <c r="V61" s="168">
        <f>U61*(1+$R$84+$Q$15*S61/36500)</f>
        <v>200.82006465753423</v>
      </c>
      <c r="W61" s="32">
        <f t="shared" si="16"/>
        <v>204.83646595068493</v>
      </c>
      <c r="X61" s="32">
        <f t="shared" si="17"/>
        <v>208.85286724383562</v>
      </c>
      <c r="Y61" t="s">
        <v>25</v>
      </c>
      <c r="Z61" s="96"/>
      <c r="AA61" s="96"/>
      <c r="AB61" s="96"/>
      <c r="AC61" s="96"/>
      <c r="AH61" s="20">
        <v>42</v>
      </c>
      <c r="AI61" s="117" t="s">
        <v>4083</v>
      </c>
      <c r="AJ61" s="117">
        <v>500000</v>
      </c>
      <c r="AK61" s="20">
        <v>1</v>
      </c>
      <c r="AL61" s="99">
        <f t="shared" si="9"/>
        <v>356</v>
      </c>
      <c r="AM61" s="113">
        <f t="shared" si="10"/>
        <v>178000000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56" t="s">
        <v>716</v>
      </c>
      <c r="L62" s="1">
        <f>L60+N7</f>
        <v>657033799.63020992</v>
      </c>
      <c r="M62" s="113"/>
      <c r="N62" s="168"/>
      <c r="O62" s="115"/>
      <c r="P62" s="115"/>
      <c r="Q62" s="169">
        <v>183105</v>
      </c>
      <c r="R62" s="168" t="s">
        <v>4229</v>
      </c>
      <c r="S62" s="197">
        <f>S61-1</f>
        <v>246</v>
      </c>
      <c r="T62" s="189" t="s">
        <v>4515</v>
      </c>
      <c r="U62" s="168">
        <v>166.6</v>
      </c>
      <c r="V62" s="168">
        <f>U62*(1+$R$84+$Q$15*S62/36500)</f>
        <v>200.57179397260276</v>
      </c>
      <c r="W62" s="32">
        <f t="shared" si="16"/>
        <v>204.58322985205481</v>
      </c>
      <c r="X62" s="32">
        <f t="shared" si="17"/>
        <v>208.59466573150689</v>
      </c>
      <c r="Y62" t="s">
        <v>25</v>
      </c>
      <c r="Z62" s="96"/>
      <c r="AA62" s="96"/>
      <c r="AB62" s="96"/>
      <c r="AC62" s="96"/>
      <c r="AH62" s="20">
        <v>43</v>
      </c>
      <c r="AI62" s="117" t="s">
        <v>4087</v>
      </c>
      <c r="AJ62" s="117">
        <v>200000</v>
      </c>
      <c r="AK62" s="20">
        <v>3</v>
      </c>
      <c r="AL62" s="99">
        <f>AL63+AK62</f>
        <v>355</v>
      </c>
      <c r="AM62" s="113">
        <f t="shared" si="10"/>
        <v>71000000</v>
      </c>
      <c r="AN62" s="20"/>
    </row>
    <row r="63" spans="1:45">
      <c r="E63" s="26"/>
      <c r="J63">
        <f>J61-J62</f>
        <v>17038253</v>
      </c>
      <c r="O63" s="96"/>
      <c r="P63" s="96"/>
      <c r="Q63" s="169">
        <v>168846</v>
      </c>
      <c r="R63" s="168" t="s">
        <v>3690</v>
      </c>
      <c r="S63" s="197">
        <f>S62-30</f>
        <v>216</v>
      </c>
      <c r="T63" s="189" t="s">
        <v>4612</v>
      </c>
      <c r="U63" s="168">
        <v>172.2</v>
      </c>
      <c r="V63" s="168">
        <f>U63*(1+$R$84+$Q$15*S63/36500)</f>
        <v>203.35074410958904</v>
      </c>
      <c r="W63" s="32">
        <f t="shared" si="16"/>
        <v>207.41775899178083</v>
      </c>
      <c r="X63" s="32">
        <f t="shared" si="17"/>
        <v>211.48477387397261</v>
      </c>
      <c r="Y63" t="s">
        <v>25</v>
      </c>
      <c r="Z63" s="96"/>
      <c r="AA63" s="96"/>
      <c r="AB63" s="96"/>
      <c r="AC63" s="96"/>
      <c r="AH63" s="20">
        <v>44</v>
      </c>
      <c r="AI63" s="117" t="s">
        <v>4094</v>
      </c>
      <c r="AJ63" s="117">
        <v>1000000</v>
      </c>
      <c r="AK63" s="20">
        <v>3</v>
      </c>
      <c r="AL63" s="99">
        <f t="shared" si="9"/>
        <v>352</v>
      </c>
      <c r="AM63" s="113">
        <f t="shared" si="10"/>
        <v>352000000</v>
      </c>
      <c r="AN63" s="20"/>
    </row>
    <row r="64" spans="1:45">
      <c r="E64" s="26"/>
      <c r="K64">
        <v>134410</v>
      </c>
      <c r="M64" s="25"/>
      <c r="O64" t="s">
        <v>25</v>
      </c>
      <c r="Q64" s="169">
        <v>19918023</v>
      </c>
      <c r="R64" s="5" t="s">
        <v>4865</v>
      </c>
      <c r="S64" s="197">
        <f>S63-75</f>
        <v>141</v>
      </c>
      <c r="T64" s="189" t="s">
        <v>4867</v>
      </c>
      <c r="U64" s="213">
        <v>183</v>
      </c>
      <c r="V64" s="213">
        <f>U64*(1+$R$84+$Q$15*S64/36500)</f>
        <v>205.57568219178086</v>
      </c>
      <c r="W64" s="32">
        <f t="shared" si="16"/>
        <v>209.68719583561648</v>
      </c>
      <c r="X64" s="32">
        <f t="shared" si="17"/>
        <v>213.7987094794521</v>
      </c>
      <c r="Z64" s="96"/>
      <c r="AA64" s="96"/>
      <c r="AB64" s="96"/>
      <c r="AC64" s="96"/>
      <c r="AH64" s="20">
        <v>45</v>
      </c>
      <c r="AI64" s="117" t="s">
        <v>4106</v>
      </c>
      <c r="AJ64" s="117">
        <v>1300000</v>
      </c>
      <c r="AK64" s="20">
        <v>0</v>
      </c>
      <c r="AL64" s="99">
        <f>AL65+AK64</f>
        <v>349</v>
      </c>
      <c r="AM64" s="113">
        <f t="shared" si="10"/>
        <v>453700000</v>
      </c>
      <c r="AN64" s="20"/>
    </row>
    <row r="65" spans="1:40">
      <c r="K65">
        <f>J62*K64/J61</f>
        <v>64617.405690037907</v>
      </c>
      <c r="M65" s="25" t="s">
        <v>4079</v>
      </c>
      <c r="N65" s="96"/>
      <c r="O65" s="96"/>
      <c r="P65" s="115"/>
      <c r="Q65" s="169">
        <v>1200301</v>
      </c>
      <c r="R65" s="19" t="s">
        <v>4953</v>
      </c>
      <c r="S65" s="197">
        <f>S64-34</f>
        <v>107</v>
      </c>
      <c r="T65" s="189" t="s">
        <v>4955</v>
      </c>
      <c r="U65" s="213">
        <v>218.5</v>
      </c>
      <c r="V65" s="213">
        <f>U65*(1+$R$84+$Q$15*S65/36500)</f>
        <v>239.75615890410961</v>
      </c>
      <c r="W65" s="32">
        <f t="shared" si="16"/>
        <v>244.55128208219182</v>
      </c>
      <c r="X65" s="32">
        <f t="shared" si="17"/>
        <v>249.346405260274</v>
      </c>
      <c r="Z65" s="96"/>
      <c r="AA65" s="96"/>
      <c r="AB65" s="96"/>
      <c r="AC65" s="96"/>
      <c r="AH65" s="20">
        <v>45</v>
      </c>
      <c r="AI65" s="117" t="s">
        <v>4106</v>
      </c>
      <c r="AJ65" s="117">
        <v>995000</v>
      </c>
      <c r="AK65" s="20">
        <v>2</v>
      </c>
      <c r="AL65" s="99">
        <f t="shared" ref="AL65:AL92" si="18">AL66+AK65</f>
        <v>349</v>
      </c>
      <c r="AM65" s="113">
        <f t="shared" si="10"/>
        <v>347255000</v>
      </c>
      <c r="AN65" s="20"/>
    </row>
    <row r="66" spans="1:40">
      <c r="K66">
        <f>K64-K65</f>
        <v>69792.594309962093</v>
      </c>
      <c r="M66" s="177"/>
      <c r="N66" s="96"/>
      <c r="O66" s="96"/>
      <c r="P66" s="115"/>
      <c r="Q66" s="169">
        <v>6135206</v>
      </c>
      <c r="R66" s="19" t="s">
        <v>4982</v>
      </c>
      <c r="S66" s="197">
        <f>S65-16</f>
        <v>91</v>
      </c>
      <c r="T66" s="189" t="s">
        <v>4983</v>
      </c>
      <c r="U66" s="213">
        <v>196.2</v>
      </c>
      <c r="V66" s="213">
        <f>U66*(1+$R$84+$Q$15*S66/36500)</f>
        <v>212.87861260273974</v>
      </c>
      <c r="W66" s="32">
        <f t="shared" si="16"/>
        <v>217.13618485479452</v>
      </c>
      <c r="X66" s="32">
        <f t="shared" si="17"/>
        <v>221.39375710684934</v>
      </c>
      <c r="Y66" t="s">
        <v>25</v>
      </c>
      <c r="Z66" s="96"/>
      <c r="AA66" s="96"/>
      <c r="AB66" s="96"/>
      <c r="AC66" s="96"/>
      <c r="AH66" s="20">
        <v>46</v>
      </c>
      <c r="AI66" s="117" t="s">
        <v>4116</v>
      </c>
      <c r="AJ66" s="117">
        <v>13000000</v>
      </c>
      <c r="AK66" s="20">
        <v>2</v>
      </c>
      <c r="AL66" s="99">
        <f t="shared" si="18"/>
        <v>347</v>
      </c>
      <c r="AM66" s="113">
        <f t="shared" si="10"/>
        <v>4511000000</v>
      </c>
      <c r="AN66" s="20"/>
    </row>
    <row r="67" spans="1:40">
      <c r="A67" t="s">
        <v>25</v>
      </c>
      <c r="F67" t="s">
        <v>310</v>
      </c>
      <c r="G67" t="s">
        <v>4098</v>
      </c>
      <c r="M67" s="96" t="s">
        <v>4798</v>
      </c>
      <c r="N67" s="96"/>
      <c r="O67" s="96"/>
      <c r="Q67" s="169">
        <v>104578</v>
      </c>
      <c r="R67" s="19" t="s">
        <v>5006</v>
      </c>
      <c r="S67" s="197">
        <f>S66-9</f>
        <v>82</v>
      </c>
      <c r="T67" s="189" t="s">
        <v>5007</v>
      </c>
      <c r="U67" s="213">
        <v>199.8</v>
      </c>
      <c r="V67" s="213">
        <f>U67*(1+$R$84+$Q$15*S67/36500)</f>
        <v>215.40520109589042</v>
      </c>
      <c r="W67" s="32">
        <f t="shared" si="16"/>
        <v>219.71330511780823</v>
      </c>
      <c r="X67" s="32">
        <f t="shared" si="17"/>
        <v>224.02140913972605</v>
      </c>
      <c r="Y67" t="s">
        <v>25</v>
      </c>
      <c r="Z67" s="96"/>
      <c r="AA67" s="96"/>
      <c r="AB67" s="96"/>
      <c r="AC67" s="96"/>
      <c r="AH67" s="20">
        <v>47</v>
      </c>
      <c r="AI67" s="117" t="s">
        <v>4129</v>
      </c>
      <c r="AJ67" s="117">
        <v>-3100000</v>
      </c>
      <c r="AK67" s="20">
        <v>3</v>
      </c>
      <c r="AL67" s="99">
        <f t="shared" si="18"/>
        <v>345</v>
      </c>
      <c r="AM67" s="113">
        <f t="shared" si="10"/>
        <v>-1069500000</v>
      </c>
      <c r="AN67" s="20"/>
    </row>
    <row r="68" spans="1:40">
      <c r="F68" t="s">
        <v>4102</v>
      </c>
      <c r="G68" t="s">
        <v>4097</v>
      </c>
      <c r="M68" s="122" t="s">
        <v>4407</v>
      </c>
      <c r="O68" s="114"/>
      <c r="Q68" s="169">
        <v>119253</v>
      </c>
      <c r="R68" s="19" t="s">
        <v>5011</v>
      </c>
      <c r="S68" s="197">
        <f>S67-3</f>
        <v>79</v>
      </c>
      <c r="T68" s="189" t="s">
        <v>5012</v>
      </c>
      <c r="U68" s="213">
        <v>199.5</v>
      </c>
      <c r="V68" s="213">
        <f>U68*(1+$R$84+$Q$15*S68/36500)</f>
        <v>214.62264657534249</v>
      </c>
      <c r="W68" s="32">
        <f t="shared" si="16"/>
        <v>218.91509950684934</v>
      </c>
      <c r="X68" s="32">
        <f t="shared" si="17"/>
        <v>223.2075524383562</v>
      </c>
      <c r="Z68" s="96"/>
      <c r="AA68" s="96"/>
      <c r="AB68" s="96"/>
      <c r="AC68" s="96"/>
      <c r="AH68" s="20">
        <v>48</v>
      </c>
      <c r="AI68" s="117" t="s">
        <v>4144</v>
      </c>
      <c r="AJ68" s="117">
        <v>45640000</v>
      </c>
      <c r="AK68" s="20">
        <v>1</v>
      </c>
      <c r="AL68" s="99">
        <f t="shared" si="18"/>
        <v>342</v>
      </c>
      <c r="AM68" s="113">
        <f t="shared" si="10"/>
        <v>15608880000</v>
      </c>
      <c r="AN68" s="20"/>
    </row>
    <row r="69" spans="1:40">
      <c r="F69" t="s">
        <v>4103</v>
      </c>
      <c r="G69" t="s">
        <v>4099</v>
      </c>
      <c r="M69" s="122" t="s">
        <v>4500</v>
      </c>
      <c r="N69" s="96"/>
      <c r="Q69" s="169">
        <v>30004376</v>
      </c>
      <c r="R69" s="19" t="s">
        <v>5031</v>
      </c>
      <c r="S69" s="197">
        <f>S68-9</f>
        <v>70</v>
      </c>
      <c r="T69" s="189" t="s">
        <v>5032</v>
      </c>
      <c r="U69" s="213">
        <v>200</v>
      </c>
      <c r="V69" s="213">
        <f>U69*(1+$R$84+$Q$15*S69/36500)</f>
        <v>213.77972602739729</v>
      </c>
      <c r="W69" s="32">
        <f t="shared" si="16"/>
        <v>218.05532054794523</v>
      </c>
      <c r="X69" s="32">
        <f t="shared" si="17"/>
        <v>222.3309150684932</v>
      </c>
      <c r="Z69" s="96"/>
      <c r="AA69" s="96"/>
      <c r="AB69" s="96"/>
      <c r="AC69" s="96"/>
      <c r="AH69" s="20">
        <v>49</v>
      </c>
      <c r="AI69" s="117" t="s">
        <v>4150</v>
      </c>
      <c r="AJ69" s="117">
        <v>33500000</v>
      </c>
      <c r="AK69" s="20">
        <v>1</v>
      </c>
      <c r="AL69" s="99">
        <f t="shared" si="18"/>
        <v>341</v>
      </c>
      <c r="AM69" s="113">
        <f t="shared" si="10"/>
        <v>11423500000</v>
      </c>
      <c r="AN69" s="20"/>
    </row>
    <row r="70" spans="1:40">
      <c r="G70" t="s">
        <v>4100</v>
      </c>
      <c r="M70" s="122" t="s">
        <v>4570</v>
      </c>
      <c r="N70" s="96"/>
      <c r="P70" t="s">
        <v>25</v>
      </c>
      <c r="Q70" s="169">
        <v>119980</v>
      </c>
      <c r="R70" s="19" t="s">
        <v>5061</v>
      </c>
      <c r="S70" s="197">
        <f>S69-8</f>
        <v>62</v>
      </c>
      <c r="T70" s="189" t="s">
        <v>5064</v>
      </c>
      <c r="U70" s="213">
        <v>211</v>
      </c>
      <c r="V70" s="213">
        <f>U70*(1+$R$84+$Q$15*S70/36500)</f>
        <v>224.24270684931506</v>
      </c>
      <c r="W70" s="32">
        <f t="shared" si="16"/>
        <v>228.72756098630137</v>
      </c>
      <c r="X70" s="32">
        <f t="shared" si="17"/>
        <v>233.21241512328766</v>
      </c>
      <c r="AH70" s="20">
        <v>50</v>
      </c>
      <c r="AI70" s="117" t="s">
        <v>4155</v>
      </c>
      <c r="AJ70" s="117">
        <v>12000000</v>
      </c>
      <c r="AK70" s="20">
        <v>1</v>
      </c>
      <c r="AL70" s="99">
        <f t="shared" si="18"/>
        <v>340</v>
      </c>
      <c r="AM70" s="117">
        <f t="shared" si="10"/>
        <v>4080000000</v>
      </c>
      <c r="AN70" s="20"/>
    </row>
    <row r="71" spans="1:40" ht="30">
      <c r="G71" t="s">
        <v>4101</v>
      </c>
      <c r="K71" s="212" t="s">
        <v>4734</v>
      </c>
      <c r="L71" s="22" t="s">
        <v>4710</v>
      </c>
      <c r="M71" s="206" t="s">
        <v>4689</v>
      </c>
      <c r="N71" s="96"/>
      <c r="P71" s="115"/>
      <c r="Q71" s="169">
        <v>106716</v>
      </c>
      <c r="R71" s="19" t="s">
        <v>5080</v>
      </c>
      <c r="S71" s="197">
        <f>S70-6</f>
        <v>56</v>
      </c>
      <c r="T71" s="189" t="s">
        <v>5082</v>
      </c>
      <c r="U71" s="213">
        <v>213.3</v>
      </c>
      <c r="V71" s="213">
        <f>U71*(1+$R$84+$Q$15*S71/36500)</f>
        <v>225.70529424657536</v>
      </c>
      <c r="W71" s="32">
        <f t="shared" si="16"/>
        <v>230.21940013150689</v>
      </c>
      <c r="X71" s="32">
        <f t="shared" si="17"/>
        <v>234.73350601643838</v>
      </c>
      <c r="AH71" s="20">
        <v>51</v>
      </c>
      <c r="AI71" s="117" t="s">
        <v>4161</v>
      </c>
      <c r="AJ71" s="117">
        <v>15500000</v>
      </c>
      <c r="AK71" s="20">
        <v>4</v>
      </c>
      <c r="AL71" s="99">
        <f t="shared" si="18"/>
        <v>339</v>
      </c>
      <c r="AM71" s="117">
        <f t="shared" si="10"/>
        <v>5254500000</v>
      </c>
      <c r="AN71" s="20"/>
    </row>
    <row r="72" spans="1:40" ht="21">
      <c r="G72" t="s">
        <v>4105</v>
      </c>
      <c r="K72" t="s">
        <v>4735</v>
      </c>
      <c r="M72" s="260" t="s">
        <v>5056</v>
      </c>
      <c r="N72" s="96"/>
      <c r="P72" s="115" t="s">
        <v>25</v>
      </c>
      <c r="Q72" s="169">
        <v>1324444</v>
      </c>
      <c r="R72" s="19" t="s">
        <v>5080</v>
      </c>
      <c r="S72" s="197">
        <f>S71</f>
        <v>56</v>
      </c>
      <c r="T72" s="189" t="s">
        <v>5084</v>
      </c>
      <c r="U72" s="213">
        <v>821.9</v>
      </c>
      <c r="V72" s="213">
        <f>U72*(1+$R$84+$Q$15*S72/36500)</f>
        <v>869.70080328767131</v>
      </c>
      <c r="W72" s="32">
        <f t="shared" si="16"/>
        <v>887.09481935342478</v>
      </c>
      <c r="X72" s="32">
        <f t="shared" si="17"/>
        <v>904.48883541917814</v>
      </c>
      <c r="AH72" s="20">
        <v>52</v>
      </c>
      <c r="AI72" s="117" t="s">
        <v>4165</v>
      </c>
      <c r="AJ72" s="117">
        <v>150000</v>
      </c>
      <c r="AK72" s="20">
        <v>1</v>
      </c>
      <c r="AL72" s="99">
        <f t="shared" si="18"/>
        <v>335</v>
      </c>
      <c r="AM72" s="117">
        <f t="shared" si="10"/>
        <v>50250000</v>
      </c>
      <c r="AN72" s="20"/>
    </row>
    <row r="73" spans="1:40">
      <c r="G73" t="s">
        <v>4104</v>
      </c>
      <c r="K73" t="s">
        <v>4573</v>
      </c>
      <c r="L73" s="96"/>
      <c r="M73" s="122"/>
      <c r="O73" t="s">
        <v>25</v>
      </c>
      <c r="P73" s="115"/>
      <c r="Q73" s="169">
        <v>240923</v>
      </c>
      <c r="R73" s="19" t="s">
        <v>5114</v>
      </c>
      <c r="S73" s="197">
        <f>S72-19</f>
        <v>37</v>
      </c>
      <c r="T73" s="189" t="s">
        <v>5116</v>
      </c>
      <c r="U73" s="213">
        <v>691.1</v>
      </c>
      <c r="V73" s="213">
        <f>U73*(1+$R$84+$Q$15*S73/36500)</f>
        <v>721.2205994520549</v>
      </c>
      <c r="W73" s="32">
        <f t="shared" si="16"/>
        <v>735.64501144109602</v>
      </c>
      <c r="X73" s="32">
        <f t="shared" si="17"/>
        <v>750.06942343013714</v>
      </c>
      <c r="Y73" t="s">
        <v>25</v>
      </c>
      <c r="AH73" s="179">
        <v>53</v>
      </c>
      <c r="AI73" s="180" t="s">
        <v>4171</v>
      </c>
      <c r="AJ73" s="180">
        <v>29000000</v>
      </c>
      <c r="AK73" s="179">
        <v>15</v>
      </c>
      <c r="AL73" s="179">
        <f t="shared" si="18"/>
        <v>334</v>
      </c>
      <c r="AM73" s="180">
        <f t="shared" si="10"/>
        <v>9686000000</v>
      </c>
      <c r="AN73" s="179" t="s">
        <v>4184</v>
      </c>
    </row>
    <row r="74" spans="1:40">
      <c r="K74" t="s">
        <v>4799</v>
      </c>
      <c r="M74" s="96">
        <f>O48+O21+O30-O54</f>
        <v>5028018</v>
      </c>
      <c r="N74" s="113">
        <f>M74*P48</f>
        <v>1295217436.8000002</v>
      </c>
      <c r="P74" s="115"/>
      <c r="Q74" s="169">
        <v>1408805</v>
      </c>
      <c r="R74" s="19" t="s">
        <v>5121</v>
      </c>
      <c r="S74" s="197">
        <f>S73-2</f>
        <v>35</v>
      </c>
      <c r="T74" s="189" t="s">
        <v>5123</v>
      </c>
      <c r="U74" s="213">
        <v>235.2</v>
      </c>
      <c r="V74" s="213">
        <f>U74*(1+$R$84+$Q$15*S74/36500)</f>
        <v>245.08999890410962</v>
      </c>
      <c r="W74" s="32">
        <f t="shared" si="16"/>
        <v>249.99179888219183</v>
      </c>
      <c r="X74" s="32">
        <f t="shared" si="17"/>
        <v>254.89359886027401</v>
      </c>
      <c r="AH74" s="20">
        <v>54</v>
      </c>
      <c r="AI74" s="117" t="s">
        <v>4208</v>
      </c>
      <c r="AJ74" s="117">
        <v>-130000</v>
      </c>
      <c r="AK74" s="20">
        <v>7</v>
      </c>
      <c r="AL74" s="99">
        <f t="shared" si="18"/>
        <v>319</v>
      </c>
      <c r="AM74" s="117">
        <f t="shared" si="10"/>
        <v>-41470000</v>
      </c>
      <c r="AN74" s="20" t="s">
        <v>4210</v>
      </c>
    </row>
    <row r="75" spans="1:40">
      <c r="G75" s="48" t="s">
        <v>788</v>
      </c>
      <c r="H75" s="201" t="s">
        <v>476</v>
      </c>
      <c r="K75" t="s">
        <v>4800</v>
      </c>
      <c r="M75" t="s">
        <v>4265</v>
      </c>
      <c r="P75" s="115"/>
      <c r="Q75" s="169">
        <v>4507053</v>
      </c>
      <c r="R75" s="19" t="s">
        <v>5125</v>
      </c>
      <c r="S75" s="197">
        <f>S74-1</f>
        <v>34</v>
      </c>
      <c r="T75" s="189" t="s">
        <v>5126</v>
      </c>
      <c r="U75" s="213">
        <v>225</v>
      </c>
      <c r="V75" s="213">
        <f>U75*(1+$R$84+$Q$15*S75/36500)</f>
        <v>234.28849315068493</v>
      </c>
      <c r="W75" s="32">
        <f t="shared" si="16"/>
        <v>238.97426301369862</v>
      </c>
      <c r="X75" s="32">
        <f t="shared" si="17"/>
        <v>243.66003287671234</v>
      </c>
      <c r="AH75" s="20">
        <v>55</v>
      </c>
      <c r="AI75" s="117" t="s">
        <v>4256</v>
      </c>
      <c r="AJ75" s="117">
        <v>232000</v>
      </c>
      <c r="AK75" s="20">
        <v>2</v>
      </c>
      <c r="AL75" s="99">
        <f t="shared" si="18"/>
        <v>312</v>
      </c>
      <c r="AM75" s="117">
        <f>AJ75*AL75</f>
        <v>72384000</v>
      </c>
      <c r="AN75" s="20" t="s">
        <v>4258</v>
      </c>
    </row>
    <row r="76" spans="1:40">
      <c r="D76" s="3"/>
      <c r="E76" s="11" t="s">
        <v>304</v>
      </c>
      <c r="G76" s="47">
        <v>700000</v>
      </c>
      <c r="H76" s="201" t="s">
        <v>1038</v>
      </c>
      <c r="K76" t="s">
        <v>4801</v>
      </c>
      <c r="M76" t="s">
        <v>4575</v>
      </c>
      <c r="N76" t="s">
        <v>25</v>
      </c>
      <c r="P76" s="115"/>
      <c r="Q76" s="169">
        <v>1927152</v>
      </c>
      <c r="R76" s="19" t="s">
        <v>5119</v>
      </c>
      <c r="S76" s="197">
        <f>S75-1</f>
        <v>33</v>
      </c>
      <c r="T76" s="189" t="s">
        <v>5127</v>
      </c>
      <c r="U76" s="213">
        <v>232.6</v>
      </c>
      <c r="V76" s="213">
        <f>U76*(1+$R$84+$Q$15*S76/36500)</f>
        <v>242.02380493150687</v>
      </c>
      <c r="W76" s="32">
        <f t="shared" si="16"/>
        <v>246.86428103013702</v>
      </c>
      <c r="X76" s="32">
        <f t="shared" si="17"/>
        <v>251.70475712876717</v>
      </c>
      <c r="Y76" s="122" t="s">
        <v>25</v>
      </c>
      <c r="AH76" s="20">
        <v>56</v>
      </c>
      <c r="AI76" s="117" t="s">
        <v>4267</v>
      </c>
      <c r="AJ76" s="117">
        <v>-170000</v>
      </c>
      <c r="AK76" s="20">
        <v>3</v>
      </c>
      <c r="AL76" s="99">
        <f t="shared" si="18"/>
        <v>310</v>
      </c>
      <c r="AM76" s="117">
        <f t="shared" si="10"/>
        <v>-52700000</v>
      </c>
      <c r="AN76" s="20"/>
    </row>
    <row r="77" spans="1:40" ht="26.25">
      <c r="D77" s="1" t="s">
        <v>305</v>
      </c>
      <c r="E77" s="1">
        <v>70000</v>
      </c>
      <c r="G77" s="47">
        <v>500000</v>
      </c>
      <c r="H77" s="201" t="s">
        <v>479</v>
      </c>
      <c r="K77" t="s">
        <v>4533</v>
      </c>
      <c r="M77" s="257"/>
      <c r="P77" s="115"/>
      <c r="Q77" s="169">
        <v>40486</v>
      </c>
      <c r="R77" s="19" t="s">
        <v>5149</v>
      </c>
      <c r="S77" s="197">
        <f>S76-13</f>
        <v>20</v>
      </c>
      <c r="T77" s="189" t="s">
        <v>5194</v>
      </c>
      <c r="U77" s="213">
        <v>707</v>
      </c>
      <c r="V77" s="213">
        <f>U77*(1+$R$84+$Q$15*S77/36500)</f>
        <v>728.59352328767136</v>
      </c>
      <c r="W77" s="32">
        <f t="shared" si="16"/>
        <v>743.16539375342484</v>
      </c>
      <c r="X77" s="32">
        <f t="shared" si="17"/>
        <v>757.7372642191782</v>
      </c>
      <c r="Y77" t="s">
        <v>25</v>
      </c>
      <c r="AA77" t="s">
        <v>25</v>
      </c>
      <c r="AH77" s="20">
        <v>57</v>
      </c>
      <c r="AI77" s="117" t="s">
        <v>4281</v>
      </c>
      <c r="AJ77" s="117">
        <v>-300000</v>
      </c>
      <c r="AK77" s="20">
        <v>3</v>
      </c>
      <c r="AL77" s="99">
        <f t="shared" si="18"/>
        <v>307</v>
      </c>
      <c r="AM77" s="117">
        <f t="shared" si="10"/>
        <v>-92100000</v>
      </c>
      <c r="AN77" s="20"/>
    </row>
    <row r="78" spans="1:40">
      <c r="D78" s="1" t="s">
        <v>321</v>
      </c>
      <c r="E78" s="1">
        <v>100000</v>
      </c>
      <c r="G78" s="47">
        <v>180000</v>
      </c>
      <c r="H78" s="201" t="s">
        <v>558</v>
      </c>
      <c r="K78" t="s">
        <v>4577</v>
      </c>
      <c r="M78" t="s">
        <v>5024</v>
      </c>
      <c r="P78" s="115"/>
      <c r="Q78" s="169">
        <v>98735</v>
      </c>
      <c r="R78" s="19" t="s">
        <v>5192</v>
      </c>
      <c r="S78" s="197">
        <f>S77-20</f>
        <v>0</v>
      </c>
      <c r="T78" s="189" t="s">
        <v>5196</v>
      </c>
      <c r="U78" s="213">
        <v>840</v>
      </c>
      <c r="V78" s="213">
        <f>U78*(1+$R$84+$Q$15*S78/36500)</f>
        <v>852.76800000000003</v>
      </c>
      <c r="W78" s="32">
        <f t="shared" si="16"/>
        <v>869.82336000000009</v>
      </c>
      <c r="X78" s="32">
        <f t="shared" si="17"/>
        <v>886.87872000000004</v>
      </c>
      <c r="AD78" s="115"/>
      <c r="AE78" s="115"/>
      <c r="AH78" s="20">
        <v>58</v>
      </c>
      <c r="AI78" s="117" t="s">
        <v>4290</v>
      </c>
      <c r="AJ78" s="117">
        <v>-11400000</v>
      </c>
      <c r="AK78" s="20">
        <v>13</v>
      </c>
      <c r="AL78" s="99">
        <f t="shared" ref="AL78:AL83" si="19">AL79+AK78</f>
        <v>304</v>
      </c>
      <c r="AM78" s="117">
        <f t="shared" si="10"/>
        <v>-3465600000</v>
      </c>
      <c r="AN78" s="20"/>
    </row>
    <row r="79" spans="1:40">
      <c r="D79" s="1" t="s">
        <v>306</v>
      </c>
      <c r="E79" s="1">
        <v>80000</v>
      </c>
      <c r="G79" s="47">
        <v>0</v>
      </c>
      <c r="H79" s="201" t="s">
        <v>784</v>
      </c>
      <c r="K79" t="s">
        <v>4532</v>
      </c>
      <c r="M79" s="262" t="s">
        <v>5067</v>
      </c>
      <c r="P79" s="115"/>
      <c r="Q79" s="169"/>
      <c r="R79" s="168"/>
      <c r="S79" s="113"/>
      <c r="T79" s="113"/>
      <c r="U79" s="168"/>
      <c r="V79" s="168">
        <f>U79*(1+$R$84+$Q$15*S79/36500)</f>
        <v>0</v>
      </c>
      <c r="W79" s="32">
        <f t="shared" si="16"/>
        <v>0</v>
      </c>
      <c r="X79" s="32">
        <f t="shared" si="17"/>
        <v>0</v>
      </c>
      <c r="AC79" s="115"/>
      <c r="AD79" s="115"/>
      <c r="AE79" s="115"/>
      <c r="AF79"/>
      <c r="AH79" s="20">
        <v>59</v>
      </c>
      <c r="AI79" s="117" t="s">
        <v>4345</v>
      </c>
      <c r="AJ79" s="117">
        <v>-10000000</v>
      </c>
      <c r="AK79" s="20">
        <v>1</v>
      </c>
      <c r="AL79" s="99">
        <f t="shared" si="19"/>
        <v>291</v>
      </c>
      <c r="AM79" s="117">
        <f>AJ79*AL79</f>
        <v>-2910000000</v>
      </c>
      <c r="AN79" s="20"/>
    </row>
    <row r="80" spans="1:40">
      <c r="D80" s="31" t="s">
        <v>307</v>
      </c>
      <c r="E80" s="1">
        <v>150000</v>
      </c>
      <c r="G80" s="47">
        <v>0</v>
      </c>
      <c r="H80" s="201" t="s">
        <v>785</v>
      </c>
      <c r="J80" t="s">
        <v>25</v>
      </c>
      <c r="K80" s="22" t="s">
        <v>4241</v>
      </c>
      <c r="M80" s="262" t="s">
        <v>5068</v>
      </c>
      <c r="O80" t="s">
        <v>25</v>
      </c>
      <c r="P80" t="s">
        <v>25</v>
      </c>
      <c r="Q80" s="113">
        <f>SUM(N28:N30)-SUM(Q58:Q79)</f>
        <v>20968130</v>
      </c>
      <c r="R80" s="168"/>
      <c r="S80" s="168"/>
      <c r="T80" s="168"/>
      <c r="U80" s="168"/>
      <c r="V80" s="168"/>
      <c r="W80" s="32"/>
      <c r="X80" s="32"/>
      <c r="AC80" s="115"/>
      <c r="AD80" s="115"/>
      <c r="AE80" s="115"/>
      <c r="AF80"/>
      <c r="AH80" s="20">
        <v>60</v>
      </c>
      <c r="AI80" s="117" t="s">
        <v>4346</v>
      </c>
      <c r="AJ80" s="117">
        <v>-2450000</v>
      </c>
      <c r="AK80" s="20">
        <v>5</v>
      </c>
      <c r="AL80" s="99">
        <f t="shared" si="19"/>
        <v>290</v>
      </c>
      <c r="AM80" s="117">
        <f>AJ80*AL80</f>
        <v>-710500000</v>
      </c>
      <c r="AN80" s="20"/>
    </row>
    <row r="81" spans="4:52">
      <c r="D81" s="31" t="s">
        <v>308</v>
      </c>
      <c r="E81" s="1">
        <v>300000</v>
      </c>
      <c r="G81" s="47">
        <v>500000</v>
      </c>
      <c r="H81" s="48" t="s">
        <v>786</v>
      </c>
      <c r="K81" t="s">
        <v>4529</v>
      </c>
      <c r="R81" s="115"/>
      <c r="S81" s="115"/>
      <c r="T81" s="115" t="s">
        <v>25</v>
      </c>
      <c r="U81" s="115"/>
      <c r="V81" s="115" t="s">
        <v>25</v>
      </c>
      <c r="W81" s="194" t="s">
        <v>25</v>
      </c>
      <c r="X81" s="194"/>
      <c r="AD81" s="115"/>
      <c r="AE81" s="115"/>
      <c r="AF81" s="115"/>
      <c r="AH81" s="20">
        <v>61</v>
      </c>
      <c r="AI81" s="117" t="s">
        <v>4370</v>
      </c>
      <c r="AJ81" s="117">
        <v>-456081</v>
      </c>
      <c r="AK81" s="20">
        <v>1</v>
      </c>
      <c r="AL81" s="99">
        <f t="shared" si="19"/>
        <v>285</v>
      </c>
      <c r="AM81" s="117">
        <f t="shared" si="10"/>
        <v>-129983085</v>
      </c>
      <c r="AN81" s="20"/>
    </row>
    <row r="82" spans="4:52">
      <c r="D82" s="31" t="s">
        <v>309</v>
      </c>
      <c r="E82" s="1">
        <v>100000</v>
      </c>
      <c r="G82" s="47">
        <v>75000</v>
      </c>
      <c r="H82" s="48" t="s">
        <v>787</v>
      </c>
      <c r="K82" t="s">
        <v>4294</v>
      </c>
      <c r="Q82" s="99" t="s">
        <v>948</v>
      </c>
      <c r="R82" s="99">
        <v>1.03E-2</v>
      </c>
      <c r="S82" s="26" t="s">
        <v>25</v>
      </c>
      <c r="T82" t="s">
        <v>25</v>
      </c>
      <c r="U82" s="96" t="s">
        <v>25</v>
      </c>
      <c r="V82" s="115" t="s">
        <v>25</v>
      </c>
      <c r="W82" s="194" t="s">
        <v>25</v>
      </c>
      <c r="X82" s="194"/>
      <c r="Y82" s="96" t="s">
        <v>25</v>
      </c>
      <c r="Z82" s="115"/>
      <c r="AA82" s="115"/>
      <c r="AB82" s="115"/>
      <c r="AC82" s="115"/>
      <c r="AD82" s="115"/>
      <c r="AE82" s="115"/>
      <c r="AF82" s="115"/>
      <c r="AH82" s="20">
        <v>62</v>
      </c>
      <c r="AI82" s="117" t="s">
        <v>4372</v>
      </c>
      <c r="AJ82" s="117">
        <v>-500000</v>
      </c>
      <c r="AK82" s="20">
        <v>2</v>
      </c>
      <c r="AL82" s="99">
        <f t="shared" si="19"/>
        <v>284</v>
      </c>
      <c r="AM82" s="117">
        <f t="shared" si="10"/>
        <v>-142000000</v>
      </c>
      <c r="AN82" s="20"/>
      <c r="AO82" t="s">
        <v>25</v>
      </c>
      <c r="AU82"/>
      <c r="AW82" t="s">
        <v>25</v>
      </c>
    </row>
    <row r="83" spans="4:52">
      <c r="D83" s="31" t="s">
        <v>310</v>
      </c>
      <c r="E83" s="1">
        <v>200000</v>
      </c>
      <c r="G83" s="47">
        <v>0</v>
      </c>
      <c r="H83" s="48" t="s">
        <v>789</v>
      </c>
      <c r="K83" t="s">
        <v>25</v>
      </c>
      <c r="Q83" s="99" t="s">
        <v>61</v>
      </c>
      <c r="R83" s="99">
        <v>4.8999999999999998E-3</v>
      </c>
      <c r="T83" t="s">
        <v>25</v>
      </c>
      <c r="V83" t="s">
        <v>25</v>
      </c>
      <c r="W83" s="194" t="s">
        <v>25</v>
      </c>
      <c r="X83" s="194"/>
      <c r="Y83" s="96" t="s">
        <v>25</v>
      </c>
      <c r="Z83" s="115"/>
      <c r="AA83" s="115"/>
      <c r="AB83" s="115"/>
      <c r="AC83" s="128"/>
      <c r="AD83" s="115"/>
      <c r="AE83" s="115"/>
      <c r="AF83" s="115"/>
      <c r="AH83" s="20">
        <v>63</v>
      </c>
      <c r="AI83" s="117" t="s">
        <v>4390</v>
      </c>
      <c r="AJ83" s="117">
        <v>-6234370</v>
      </c>
      <c r="AK83" s="20">
        <v>3</v>
      </c>
      <c r="AL83" s="99">
        <f t="shared" si="19"/>
        <v>282</v>
      </c>
      <c r="AM83" s="117">
        <f t="shared" si="10"/>
        <v>-1758092340</v>
      </c>
      <c r="AN83" s="20"/>
      <c r="AU83"/>
    </row>
    <row r="84" spans="4:52">
      <c r="D84" s="18" t="s">
        <v>311</v>
      </c>
      <c r="E84" s="18">
        <v>300000</v>
      </c>
      <c r="G84" s="47">
        <v>500000</v>
      </c>
      <c r="H84" s="48" t="s">
        <v>564</v>
      </c>
      <c r="J84">
        <v>0</v>
      </c>
      <c r="K84" s="96"/>
      <c r="M84" s="193" t="s">
        <v>4528</v>
      </c>
      <c r="Q84" s="99" t="s">
        <v>6</v>
      </c>
      <c r="R84" s="99">
        <f>R82+R83</f>
        <v>1.52E-2</v>
      </c>
      <c r="T84" t="s">
        <v>25</v>
      </c>
      <c r="U84" s="96" t="s">
        <v>25</v>
      </c>
      <c r="V84" t="s">
        <v>25</v>
      </c>
      <c r="W84" s="194"/>
      <c r="X84" s="194"/>
      <c r="Y84" s="96" t="s">
        <v>25</v>
      </c>
      <c r="Z84" s="115" t="s">
        <v>25</v>
      </c>
      <c r="AA84" s="115"/>
      <c r="AB84" s="115"/>
      <c r="AC84" s="128"/>
      <c r="AD84" s="115"/>
      <c r="AE84" s="115"/>
      <c r="AF84" s="115"/>
      <c r="AH84" s="20">
        <v>64</v>
      </c>
      <c r="AI84" s="117" t="s">
        <v>4400</v>
      </c>
      <c r="AJ84" s="117">
        <v>1950957</v>
      </c>
      <c r="AK84" s="20">
        <v>4</v>
      </c>
      <c r="AL84" s="99">
        <f t="shared" si="18"/>
        <v>279</v>
      </c>
      <c r="AM84" s="117">
        <f t="shared" si="10"/>
        <v>544317003</v>
      </c>
      <c r="AN84" s="20"/>
      <c r="AZ84" t="s">
        <v>25</v>
      </c>
    </row>
    <row r="85" spans="4:52">
      <c r="D85" s="32" t="s">
        <v>312</v>
      </c>
      <c r="E85" s="1">
        <v>200000</v>
      </c>
      <c r="G85" s="47">
        <v>50000</v>
      </c>
      <c r="H85" s="48" t="s">
        <v>792</v>
      </c>
      <c r="K85" s="96"/>
      <c r="M85" t="s">
        <v>4529</v>
      </c>
      <c r="W85" s="194"/>
      <c r="X85" s="194"/>
      <c r="Y85" s="96" t="s">
        <v>25</v>
      </c>
      <c r="Z85" s="115"/>
      <c r="AA85" s="115"/>
      <c r="AB85" s="115"/>
      <c r="AC85" s="128"/>
      <c r="AD85" s="115"/>
      <c r="AE85" s="115"/>
      <c r="AF85" s="115"/>
      <c r="AH85" s="20">
        <v>65</v>
      </c>
      <c r="AI85" s="117" t="s">
        <v>4425</v>
      </c>
      <c r="AJ85" s="117">
        <v>600000</v>
      </c>
      <c r="AK85" s="20">
        <v>5</v>
      </c>
      <c r="AL85" s="99">
        <f t="shared" si="18"/>
        <v>275</v>
      </c>
      <c r="AM85" s="117">
        <f t="shared" si="10"/>
        <v>165000000</v>
      </c>
      <c r="AN85" s="20"/>
    </row>
    <row r="86" spans="4:52" ht="30">
      <c r="D86" s="32" t="s">
        <v>313</v>
      </c>
      <c r="E86" s="1">
        <v>20000</v>
      </c>
      <c r="G86" s="47">
        <v>140000</v>
      </c>
      <c r="H86" s="48" t="s">
        <v>314</v>
      </c>
      <c r="K86" s="96"/>
      <c r="M86" t="s">
        <v>4532</v>
      </c>
      <c r="Q86" s="73" t="s">
        <v>4293</v>
      </c>
      <c r="R86" s="112"/>
      <c r="S86" s="112"/>
      <c r="T86" s="112"/>
      <c r="U86" s="168" t="s">
        <v>4361</v>
      </c>
      <c r="V86" s="36" t="s">
        <v>4363</v>
      </c>
      <c r="W86" s="32"/>
      <c r="X86" s="32"/>
      <c r="Y86" s="96"/>
      <c r="Z86" s="115"/>
      <c r="AA86" s="115"/>
      <c r="AB86" s="115"/>
      <c r="AC86" s="128"/>
      <c r="AD86" s="115"/>
      <c r="AE86" s="115"/>
      <c r="AF86" s="115"/>
      <c r="AH86" s="20">
        <v>66</v>
      </c>
      <c r="AI86" s="117" t="s">
        <v>4433</v>
      </c>
      <c r="AJ86" s="117">
        <v>7500000</v>
      </c>
      <c r="AK86" s="20">
        <v>2</v>
      </c>
      <c r="AL86" s="99">
        <f t="shared" si="18"/>
        <v>270</v>
      </c>
      <c r="AM86" s="117">
        <f t="shared" si="10"/>
        <v>2025000000</v>
      </c>
      <c r="AN86" s="20"/>
      <c r="AS86" s="96"/>
    </row>
    <row r="87" spans="4:52">
      <c r="D87" s="32" t="s">
        <v>315</v>
      </c>
      <c r="E87" s="1">
        <v>50000</v>
      </c>
      <c r="G87" s="47"/>
      <c r="H87" s="48" t="s">
        <v>25</v>
      </c>
      <c r="J87">
        <v>0</v>
      </c>
      <c r="K87" s="96"/>
      <c r="M87" t="s">
        <v>4533</v>
      </c>
      <c r="Q87" s="112" t="s">
        <v>267</v>
      </c>
      <c r="R87" s="112" t="s">
        <v>180</v>
      </c>
      <c r="S87" s="112" t="s">
        <v>183</v>
      </c>
      <c r="T87" s="112" t="s">
        <v>8</v>
      </c>
      <c r="U87" s="168"/>
      <c r="V87" s="99"/>
      <c r="W87" s="32">
        <v>2</v>
      </c>
      <c r="X87" s="32">
        <v>4</v>
      </c>
      <c r="Y87" s="122" t="s">
        <v>25</v>
      </c>
      <c r="Z87" s="115"/>
      <c r="AA87" s="115"/>
      <c r="AB87" s="115"/>
      <c r="AC87" s="128"/>
      <c r="AD87" s="115"/>
      <c r="AE87" s="115"/>
      <c r="AF87" s="115"/>
      <c r="AH87" s="20">
        <v>67</v>
      </c>
      <c r="AI87" s="117" t="s">
        <v>4438</v>
      </c>
      <c r="AJ87" s="117">
        <v>-587816</v>
      </c>
      <c r="AK87" s="20">
        <v>3</v>
      </c>
      <c r="AL87" s="99">
        <f t="shared" si="18"/>
        <v>268</v>
      </c>
      <c r="AM87" s="117">
        <f t="shared" si="10"/>
        <v>-157534688</v>
      </c>
      <c r="AN87" s="20"/>
      <c r="AS87" s="96"/>
    </row>
    <row r="88" spans="4:52">
      <c r="D88" s="32" t="s">
        <v>316</v>
      </c>
      <c r="E88" s="1">
        <v>90000</v>
      </c>
      <c r="G88" s="47">
        <f>SUM(G76:G87)</f>
        <v>2645000</v>
      </c>
      <c r="H88" s="48" t="s">
        <v>6</v>
      </c>
      <c r="K88" s="96"/>
      <c r="L88" s="96"/>
      <c r="M88" s="96"/>
      <c r="N88" s="96"/>
      <c r="Q88" s="35">
        <v>184971545</v>
      </c>
      <c r="R88" s="5" t="s">
        <v>4171</v>
      </c>
      <c r="S88" s="5">
        <v>331</v>
      </c>
      <c r="T88" s="5" t="s">
        <v>4344</v>
      </c>
      <c r="U88" s="168">
        <v>192</v>
      </c>
      <c r="V88" s="99">
        <f>U88*(1+$R$84+$Q$15*S88/36500)</f>
        <v>243.67061917808223</v>
      </c>
      <c r="W88" s="32">
        <f t="shared" ref="W88:W105" si="20">V88*(1+$W$19/100)</f>
        <v>248.54403156164389</v>
      </c>
      <c r="X88" s="32">
        <f t="shared" ref="X88:X105" si="21">V88*(1+$X$19/100)</f>
        <v>253.41744394520552</v>
      </c>
      <c r="Z88" s="115"/>
      <c r="AA88" s="115"/>
      <c r="AB88" s="115"/>
      <c r="AC88" s="128"/>
      <c r="AD88" s="115"/>
      <c r="AE88" s="115"/>
      <c r="AF88" s="115"/>
      <c r="AH88" s="20">
        <v>68</v>
      </c>
      <c r="AI88" s="117" t="s">
        <v>4437</v>
      </c>
      <c r="AJ88" s="117">
        <v>-907489</v>
      </c>
      <c r="AK88" s="20">
        <v>0</v>
      </c>
      <c r="AL88" s="99">
        <f>AL89+AK88</f>
        <v>265</v>
      </c>
      <c r="AM88" s="117">
        <f t="shared" si="10"/>
        <v>-240484585</v>
      </c>
      <c r="AN88" s="20"/>
      <c r="AP88" t="s">
        <v>25</v>
      </c>
      <c r="AV88" t="s">
        <v>25</v>
      </c>
    </row>
    <row r="89" spans="4:52">
      <c r="D89" s="32" t="s">
        <v>317</v>
      </c>
      <c r="E89" s="1">
        <v>50000</v>
      </c>
      <c r="K89" s="96"/>
      <c r="L89" s="96"/>
      <c r="M89" s="96"/>
      <c r="N89" s="96"/>
      <c r="Q89" s="35">
        <v>9560464</v>
      </c>
      <c r="R89" s="5" t="s">
        <v>4297</v>
      </c>
      <c r="S89" s="5">
        <f>S88-31</f>
        <v>300</v>
      </c>
      <c r="T89" s="5" t="s">
        <v>4310</v>
      </c>
      <c r="U89" s="168">
        <v>214.57</v>
      </c>
      <c r="V89" s="99">
        <f>U89*(1+$R$84+$Q$15*S89/36500)</f>
        <v>267.21195715068495</v>
      </c>
      <c r="W89" s="32">
        <f t="shared" si="20"/>
        <v>272.55619629369863</v>
      </c>
      <c r="X89" s="32">
        <f t="shared" si="21"/>
        <v>277.90043543671237</v>
      </c>
      <c r="Z89" s="115"/>
      <c r="AA89" s="115"/>
      <c r="AB89" s="115"/>
      <c r="AC89" s="115"/>
      <c r="AD89" s="115"/>
      <c r="AE89" s="115"/>
      <c r="AF89" s="115"/>
      <c r="AG89" s="115"/>
      <c r="AH89" s="20">
        <v>69</v>
      </c>
      <c r="AI89" s="117" t="s">
        <v>4437</v>
      </c>
      <c r="AJ89" s="117">
        <v>2450000</v>
      </c>
      <c r="AK89" s="20">
        <v>1</v>
      </c>
      <c r="AL89" s="99">
        <f t="shared" si="18"/>
        <v>265</v>
      </c>
      <c r="AM89" s="117">
        <f t="shared" si="10"/>
        <v>649250000</v>
      </c>
      <c r="AN89" s="20" t="s">
        <v>4476</v>
      </c>
      <c r="AQ89" t="s">
        <v>25</v>
      </c>
      <c r="AR89" t="s">
        <v>25</v>
      </c>
    </row>
    <row r="90" spans="4:52">
      <c r="D90" s="32" t="s">
        <v>327</v>
      </c>
      <c r="E90" s="1">
        <v>150000</v>
      </c>
      <c r="J90">
        <v>395</v>
      </c>
      <c r="K90" s="96"/>
      <c r="Q90" s="35">
        <v>2000000</v>
      </c>
      <c r="R90" s="5" t="s">
        <v>4340</v>
      </c>
      <c r="S90" s="5">
        <f>S89-11</f>
        <v>289</v>
      </c>
      <c r="T90" s="5" t="s">
        <v>4343</v>
      </c>
      <c r="U90" s="168">
        <v>206.8</v>
      </c>
      <c r="V90" s="99">
        <f>U90*(1+$R$84+$Q$15*S90/36500)</f>
        <v>255.79063671232882</v>
      </c>
      <c r="W90" s="32">
        <f t="shared" si="20"/>
        <v>260.90644944657538</v>
      </c>
      <c r="X90" s="32">
        <f t="shared" si="21"/>
        <v>266.022262180822</v>
      </c>
      <c r="Z90" s="115"/>
      <c r="AA90" s="115"/>
      <c r="AB90" s="115"/>
      <c r="AC90" s="115"/>
      <c r="AD90" s="115"/>
      <c r="AE90"/>
      <c r="AG90" s="115"/>
      <c r="AH90" s="20">
        <v>70</v>
      </c>
      <c r="AI90" s="117" t="s">
        <v>4478</v>
      </c>
      <c r="AJ90" s="117">
        <v>1500000</v>
      </c>
      <c r="AK90" s="20">
        <v>1</v>
      </c>
      <c r="AL90" s="99">
        <f t="shared" si="18"/>
        <v>264</v>
      </c>
      <c r="AM90" s="117">
        <f t="shared" si="10"/>
        <v>396000000</v>
      </c>
      <c r="AN90" s="20"/>
      <c r="AP90" t="s">
        <v>25</v>
      </c>
      <c r="AU90" s="96" t="s">
        <v>25</v>
      </c>
    </row>
    <row r="91" spans="4:52">
      <c r="D91" s="32" t="s">
        <v>318</v>
      </c>
      <c r="E91" s="1">
        <v>15000</v>
      </c>
      <c r="F91" s="96"/>
      <c r="G91" s="96"/>
      <c r="H91" s="96"/>
      <c r="I91" s="96"/>
      <c r="J91" s="96"/>
      <c r="K91" s="96"/>
      <c r="Q91" s="35">
        <v>1429825</v>
      </c>
      <c r="R91" s="5" t="s">
        <v>4370</v>
      </c>
      <c r="S91" s="5">
        <f>S90-7</f>
        <v>282</v>
      </c>
      <c r="T91" s="5" t="s">
        <v>4379</v>
      </c>
      <c r="U91" s="168">
        <v>203.9</v>
      </c>
      <c r="V91" s="99">
        <f>U91*(1+$R$84+$Q$15*S91/36500)</f>
        <v>251.10871561643839</v>
      </c>
      <c r="W91" s="32">
        <f t="shared" si="20"/>
        <v>256.13088992876715</v>
      </c>
      <c r="X91" s="32">
        <f t="shared" si="21"/>
        <v>261.15306424109593</v>
      </c>
      <c r="Z91" s="115"/>
      <c r="AA91" s="115"/>
      <c r="AE91"/>
      <c r="AG91" s="96"/>
      <c r="AH91" s="20">
        <v>71</v>
      </c>
      <c r="AI91" s="117" t="s">
        <v>4484</v>
      </c>
      <c r="AJ91" s="117">
        <v>2648000</v>
      </c>
      <c r="AK91" s="20">
        <v>1</v>
      </c>
      <c r="AL91" s="99">
        <f t="shared" si="18"/>
        <v>263</v>
      </c>
      <c r="AM91" s="117">
        <f t="shared" si="10"/>
        <v>696424000</v>
      </c>
      <c r="AN91" s="20" t="s">
        <v>4485</v>
      </c>
      <c r="AU91" s="96" t="s">
        <v>25</v>
      </c>
    </row>
    <row r="92" spans="4:52">
      <c r="D92" s="32" t="s">
        <v>319</v>
      </c>
      <c r="E92" s="1">
        <v>20000</v>
      </c>
      <c r="F92" s="96"/>
      <c r="G92" s="96"/>
      <c r="H92" s="96"/>
      <c r="I92" s="96"/>
      <c r="J92" s="96"/>
      <c r="K92" s="96"/>
      <c r="L92" t="s">
        <v>25</v>
      </c>
      <c r="P92" s="115"/>
      <c r="Q92" s="35">
        <v>1420747</v>
      </c>
      <c r="R92" s="5" t="s">
        <v>4370</v>
      </c>
      <c r="S92" s="5">
        <f>S91</f>
        <v>282</v>
      </c>
      <c r="T92" s="5" t="s">
        <v>4381</v>
      </c>
      <c r="U92" s="168">
        <v>203.1</v>
      </c>
      <c r="V92" s="99">
        <f>U92*(1+$R$84+$Q$15*S92/36500)</f>
        <v>250.12349260273973</v>
      </c>
      <c r="W92" s="32">
        <f t="shared" si="20"/>
        <v>255.12596245479452</v>
      </c>
      <c r="X92" s="32">
        <f t="shared" si="21"/>
        <v>260.12843230684933</v>
      </c>
      <c r="Z92" s="115"/>
      <c r="AA92" s="115"/>
      <c r="AE92"/>
      <c r="AG92" s="96"/>
      <c r="AH92" s="20">
        <v>72</v>
      </c>
      <c r="AI92" s="117" t="s">
        <v>4230</v>
      </c>
      <c r="AJ92" s="117">
        <v>615000</v>
      </c>
      <c r="AK92" s="20">
        <v>4</v>
      </c>
      <c r="AL92" s="99">
        <f t="shared" si="18"/>
        <v>262</v>
      </c>
      <c r="AM92" s="117">
        <f t="shared" si="10"/>
        <v>161130000</v>
      </c>
      <c r="AN92" s="20"/>
      <c r="AV92" t="s">
        <v>25</v>
      </c>
    </row>
    <row r="93" spans="4:52">
      <c r="D93" s="32" t="s">
        <v>320</v>
      </c>
      <c r="E93" s="1">
        <v>40000</v>
      </c>
      <c r="F93" s="96"/>
      <c r="G93" s="96"/>
      <c r="H93" s="96"/>
      <c r="I93" s="96"/>
      <c r="J93" s="96"/>
      <c r="K93" s="96"/>
      <c r="P93" s="128"/>
      <c r="Q93" s="35">
        <v>2010885</v>
      </c>
      <c r="R93" s="5" t="s">
        <v>4390</v>
      </c>
      <c r="S93" s="5">
        <f>S92-3</f>
        <v>279</v>
      </c>
      <c r="T93" s="5" t="s">
        <v>4395</v>
      </c>
      <c r="U93" s="168">
        <v>202.1</v>
      </c>
      <c r="V93" s="99">
        <f>U93*(1+$R$84+$Q$15*S93/36500)</f>
        <v>248.42685698630137</v>
      </c>
      <c r="W93" s="32">
        <f t="shared" si="20"/>
        <v>253.39539412602741</v>
      </c>
      <c r="X93" s="32">
        <f t="shared" si="21"/>
        <v>258.36393126575342</v>
      </c>
      <c r="Z93" s="115"/>
      <c r="AA93" s="115"/>
      <c r="AE93"/>
      <c r="AG93" s="96"/>
      <c r="AH93" s="20">
        <v>73</v>
      </c>
      <c r="AI93" s="117" t="s">
        <v>4495</v>
      </c>
      <c r="AJ93" s="117">
        <v>14000000</v>
      </c>
      <c r="AK93" s="20">
        <v>2</v>
      </c>
      <c r="AL93" s="99">
        <f>AL94+AK93</f>
        <v>258</v>
      </c>
      <c r="AM93" s="117">
        <f t="shared" si="10"/>
        <v>3612000000</v>
      </c>
      <c r="AN93" s="20"/>
    </row>
    <row r="94" spans="4:52">
      <c r="D94" s="32" t="s">
        <v>322</v>
      </c>
      <c r="E94" s="1">
        <v>150000</v>
      </c>
      <c r="F94" s="96"/>
      <c r="G94" s="96"/>
      <c r="H94" s="96"/>
      <c r="I94" s="96"/>
      <c r="J94" s="96"/>
      <c r="K94" s="96" t="s">
        <v>25</v>
      </c>
      <c r="P94" s="128"/>
      <c r="Q94" s="35">
        <v>444</v>
      </c>
      <c r="R94" s="5" t="s">
        <v>4400</v>
      </c>
      <c r="S94" s="5">
        <f>S93-3</f>
        <v>276</v>
      </c>
      <c r="T94" s="5" t="s">
        <v>4602</v>
      </c>
      <c r="U94" s="168">
        <v>441.8</v>
      </c>
      <c r="V94" s="99">
        <f>U94*(1+$R$84+$Q$15*S94/36500)</f>
        <v>542.05591890410972</v>
      </c>
      <c r="W94" s="32">
        <f t="shared" si="20"/>
        <v>552.89703728219195</v>
      </c>
      <c r="X94" s="32">
        <f t="shared" si="21"/>
        <v>563.73815566027417</v>
      </c>
      <c r="Y94">
        <v>961521</v>
      </c>
      <c r="AH94" s="20">
        <v>74</v>
      </c>
      <c r="AI94" s="117" t="s">
        <v>4499</v>
      </c>
      <c r="AJ94" s="117">
        <v>1313000</v>
      </c>
      <c r="AK94" s="20">
        <v>0</v>
      </c>
      <c r="AL94" s="99">
        <f>AL95+AK94</f>
        <v>256</v>
      </c>
      <c r="AM94" s="117">
        <f t="shared" si="10"/>
        <v>336128000</v>
      </c>
      <c r="AN94" s="20"/>
      <c r="AQ94" t="s">
        <v>25</v>
      </c>
    </row>
    <row r="95" spans="4:52">
      <c r="D95" s="32" t="s">
        <v>324</v>
      </c>
      <c r="E95" s="1">
        <v>75000</v>
      </c>
      <c r="F95" s="96"/>
      <c r="G95" s="96"/>
      <c r="H95" s="96"/>
      <c r="I95" s="96"/>
      <c r="J95" s="96"/>
      <c r="K95" s="96"/>
      <c r="L95" s="96"/>
      <c r="M95" s="96"/>
      <c r="N95" s="96"/>
      <c r="P95" s="115"/>
      <c r="Q95" s="35">
        <v>1971103</v>
      </c>
      <c r="R95" s="5" t="s">
        <v>4411</v>
      </c>
      <c r="S95" s="5">
        <f>S94-1</f>
        <v>275</v>
      </c>
      <c r="T95" s="5" t="s">
        <v>4412</v>
      </c>
      <c r="U95" s="168">
        <v>196.2</v>
      </c>
      <c r="V95" s="99">
        <f>U95*(1+$R$84+$Q$15*S95/36500)</f>
        <v>240.57237698630135</v>
      </c>
      <c r="W95" s="32">
        <f t="shared" si="20"/>
        <v>245.38382452602738</v>
      </c>
      <c r="X95" s="32">
        <f t="shared" si="21"/>
        <v>250.19527206575341</v>
      </c>
      <c r="Y95">
        <v>44349</v>
      </c>
      <c r="AH95" s="99">
        <v>75</v>
      </c>
      <c r="AI95" s="113" t="s">
        <v>4499</v>
      </c>
      <c r="AJ95" s="113">
        <v>2269000</v>
      </c>
      <c r="AK95" s="99">
        <v>1</v>
      </c>
      <c r="AL95" s="99">
        <f t="shared" ref="AL95:AL120" si="22">AL96+AK95</f>
        <v>256</v>
      </c>
      <c r="AM95" s="117">
        <f t="shared" si="10"/>
        <v>580864000</v>
      </c>
      <c r="AN95" s="99"/>
    </row>
    <row r="96" spans="4:52">
      <c r="D96" s="32" t="s">
        <v>314</v>
      </c>
      <c r="E96" s="1">
        <v>140000</v>
      </c>
      <c r="F96" s="96"/>
      <c r="G96" s="96"/>
      <c r="H96" s="96"/>
      <c r="I96" s="96"/>
      <c r="J96" s="96"/>
      <c r="K96" s="96"/>
      <c r="L96" s="96"/>
      <c r="M96" s="96"/>
      <c r="N96" s="96"/>
      <c r="Q96" s="35">
        <v>1049856</v>
      </c>
      <c r="R96" s="5" t="s">
        <v>4431</v>
      </c>
      <c r="S96" s="5">
        <f>S95-6</f>
        <v>269</v>
      </c>
      <c r="T96" s="5" t="s">
        <v>4470</v>
      </c>
      <c r="U96" s="168">
        <v>184.5</v>
      </c>
      <c r="V96" s="99">
        <f>U96*(1+$R$84+$Q$15*S96/36500)</f>
        <v>225.37711232876714</v>
      </c>
      <c r="W96" s="32">
        <f t="shared" si="20"/>
        <v>229.88465457534249</v>
      </c>
      <c r="X96" s="32">
        <f t="shared" si="21"/>
        <v>234.39219682191782</v>
      </c>
      <c r="Y96">
        <v>9625</v>
      </c>
      <c r="AH96" s="99">
        <v>76</v>
      </c>
      <c r="AI96" s="113" t="s">
        <v>4231</v>
      </c>
      <c r="AJ96" s="113">
        <v>750000</v>
      </c>
      <c r="AK96" s="99">
        <v>4</v>
      </c>
      <c r="AL96" s="99">
        <f t="shared" si="22"/>
        <v>255</v>
      </c>
      <c r="AM96" s="117">
        <f t="shared" si="10"/>
        <v>191250000</v>
      </c>
      <c r="AN96" s="99"/>
      <c r="AQ96" t="s">
        <v>25</v>
      </c>
    </row>
    <row r="97" spans="4:47">
      <c r="D97" s="2" t="s">
        <v>478</v>
      </c>
      <c r="E97" s="3">
        <v>1083333</v>
      </c>
      <c r="F97" s="96"/>
      <c r="G97" s="96"/>
      <c r="H97" s="96"/>
      <c r="I97" s="96"/>
      <c r="J97" s="96"/>
      <c r="K97" s="96"/>
      <c r="L97" s="96"/>
      <c r="M97" s="96"/>
      <c r="N97" s="96"/>
      <c r="Q97" s="35">
        <v>1783234</v>
      </c>
      <c r="R97" s="5" t="s">
        <v>4433</v>
      </c>
      <c r="S97" s="5">
        <f>S96-2</f>
        <v>267</v>
      </c>
      <c r="T97" s="5" t="s">
        <v>4434</v>
      </c>
      <c r="U97" s="168">
        <v>177.5</v>
      </c>
      <c r="V97" s="99">
        <f>U97*(1+$R$84+$Q$15*S97/36500)</f>
        <v>216.5538904109589</v>
      </c>
      <c r="W97" s="32">
        <f t="shared" si="20"/>
        <v>220.88496821917809</v>
      </c>
      <c r="X97" s="32">
        <f t="shared" si="21"/>
        <v>225.21604602739725</v>
      </c>
      <c r="Y97">
        <v>6980</v>
      </c>
      <c r="AH97" s="99">
        <v>77</v>
      </c>
      <c r="AI97" s="113" t="s">
        <v>4506</v>
      </c>
      <c r="AJ97" s="113">
        <v>1900000</v>
      </c>
      <c r="AK97" s="99">
        <v>3</v>
      </c>
      <c r="AL97" s="99">
        <f t="shared" si="22"/>
        <v>251</v>
      </c>
      <c r="AM97" s="117">
        <f t="shared" si="10"/>
        <v>476900000</v>
      </c>
      <c r="AN97" s="99"/>
    </row>
    <row r="98" spans="4:47">
      <c r="D98" s="2"/>
      <c r="E98" s="3"/>
      <c r="F98" s="96"/>
      <c r="G98" s="96"/>
      <c r="H98" s="96"/>
      <c r="I98" s="96"/>
      <c r="J98" s="96" t="s">
        <v>25</v>
      </c>
      <c r="K98" t="s">
        <v>25</v>
      </c>
      <c r="L98" s="96"/>
      <c r="M98" s="96"/>
      <c r="N98" s="96"/>
      <c r="Q98" s="35">
        <v>1662335</v>
      </c>
      <c r="R98" s="5" t="s">
        <v>4437</v>
      </c>
      <c r="S98" s="5">
        <f>S97-5</f>
        <v>262</v>
      </c>
      <c r="T98" s="218" t="s">
        <v>4585</v>
      </c>
      <c r="U98" s="168">
        <v>190.3</v>
      </c>
      <c r="V98" s="99">
        <f>U98*(1+$R$84+$Q$15*S98/36500)</f>
        <v>231.44025315068495</v>
      </c>
      <c r="W98" s="32">
        <f t="shared" si="20"/>
        <v>236.06905821369867</v>
      </c>
      <c r="X98" s="32">
        <f t="shared" si="21"/>
        <v>240.69786327671235</v>
      </c>
      <c r="Y98">
        <v>6963</v>
      </c>
      <c r="AH98" s="99">
        <v>78</v>
      </c>
      <c r="AI98" s="113" t="s">
        <v>4519</v>
      </c>
      <c r="AJ98" s="113">
        <v>6400000</v>
      </c>
      <c r="AK98" s="99">
        <v>1</v>
      </c>
      <c r="AL98" s="99">
        <f t="shared" si="22"/>
        <v>248</v>
      </c>
      <c r="AM98" s="117">
        <f t="shared" si="10"/>
        <v>1587200000</v>
      </c>
      <c r="AN98" s="99"/>
      <c r="AT98" s="96" t="s">
        <v>25</v>
      </c>
    </row>
    <row r="99" spans="4:47">
      <c r="D99" s="2"/>
      <c r="E99" s="3"/>
      <c r="J99" t="s">
        <v>25</v>
      </c>
      <c r="Q99" s="35">
        <v>2272487</v>
      </c>
      <c r="R99" s="5" t="s">
        <v>4595</v>
      </c>
      <c r="S99" s="5">
        <f>S98-42</f>
        <v>220</v>
      </c>
      <c r="T99" s="5" t="s">
        <v>4596</v>
      </c>
      <c r="U99" s="168">
        <v>174.9</v>
      </c>
      <c r="V99" s="99">
        <f>U99*(1+$R$84+$Q$15*S99/36500)</f>
        <v>207.07584986301373</v>
      </c>
      <c r="W99" s="32">
        <f t="shared" si="20"/>
        <v>211.21736686027401</v>
      </c>
      <c r="X99" s="32">
        <f t="shared" si="21"/>
        <v>215.35888385753429</v>
      </c>
      <c r="Y99" s="96">
        <v>0</v>
      </c>
      <c r="AH99" s="99">
        <v>79</v>
      </c>
      <c r="AI99" s="113" t="s">
        <v>4517</v>
      </c>
      <c r="AJ99" s="113">
        <v>5000</v>
      </c>
      <c r="AK99" s="99">
        <v>5</v>
      </c>
      <c r="AL99" s="99">
        <f t="shared" si="22"/>
        <v>247</v>
      </c>
      <c r="AM99" s="117">
        <f t="shared" si="10"/>
        <v>1235000</v>
      </c>
      <c r="AN99" s="99"/>
      <c r="AP99" t="s">
        <v>25</v>
      </c>
    </row>
    <row r="100" spans="4:47">
      <c r="D100" s="2" t="s">
        <v>6</v>
      </c>
      <c r="E100" s="3">
        <f>SUM(E77:E98)</f>
        <v>3383333</v>
      </c>
      <c r="Q100" s="35">
        <v>3975257</v>
      </c>
      <c r="R100" s="5" t="s">
        <v>4600</v>
      </c>
      <c r="S100" s="5">
        <f>S99-1</f>
        <v>219</v>
      </c>
      <c r="T100" s="5" t="s">
        <v>4601</v>
      </c>
      <c r="U100" s="168">
        <v>173</v>
      </c>
      <c r="V100" s="99">
        <f>U100*(1+$R$84+$Q$15*S100/36500)</f>
        <v>204.6936</v>
      </c>
      <c r="W100" s="32">
        <f t="shared" si="20"/>
        <v>208.78747200000001</v>
      </c>
      <c r="X100" s="32">
        <f t="shared" si="21"/>
        <v>212.88134400000001</v>
      </c>
      <c r="Y100" s="96">
        <v>9904</v>
      </c>
      <c r="AH100" s="99">
        <v>80</v>
      </c>
      <c r="AI100" s="113" t="s">
        <v>4549</v>
      </c>
      <c r="AJ100" s="113">
        <v>-1750148</v>
      </c>
      <c r="AK100" s="99">
        <v>1</v>
      </c>
      <c r="AL100" s="99">
        <f t="shared" si="22"/>
        <v>242</v>
      </c>
      <c r="AM100" s="117">
        <f t="shared" si="10"/>
        <v>-423535816</v>
      </c>
      <c r="AN100" s="99"/>
    </row>
    <row r="101" spans="4:47">
      <c r="D101" s="2" t="s">
        <v>328</v>
      </c>
      <c r="E101" s="3">
        <f>E100/30</f>
        <v>112777.76666666666</v>
      </c>
      <c r="F101" s="213" t="s">
        <v>4684</v>
      </c>
      <c r="G101" s="213" t="s">
        <v>940</v>
      </c>
      <c r="H101" s="213" t="s">
        <v>4672</v>
      </c>
      <c r="I101" s="213" t="s">
        <v>4671</v>
      </c>
      <c r="J101" s="32" t="s">
        <v>4534</v>
      </c>
      <c r="K101" s="213" t="s">
        <v>4664</v>
      </c>
      <c r="L101" s="32" t="s">
        <v>4666</v>
      </c>
      <c r="M101" s="32" t="s">
        <v>4640</v>
      </c>
      <c r="N101" s="213" t="s">
        <v>4641</v>
      </c>
      <c r="Q101" s="35">
        <v>1031662</v>
      </c>
      <c r="R101" s="5" t="s">
        <v>4232</v>
      </c>
      <c r="S101" s="5">
        <f>S100-1</f>
        <v>218</v>
      </c>
      <c r="T101" s="5" t="s">
        <v>4604</v>
      </c>
      <c r="U101" s="168">
        <v>171.2</v>
      </c>
      <c r="V101" s="99">
        <f>U101*(1+$R$84+$Q$15*S101/36500)</f>
        <v>202.43250849315069</v>
      </c>
      <c r="W101" s="32">
        <f t="shared" si="20"/>
        <v>206.4811586630137</v>
      </c>
      <c r="X101" s="32">
        <f t="shared" si="21"/>
        <v>210.52980883287674</v>
      </c>
      <c r="Y101" s="96">
        <v>0</v>
      </c>
      <c r="AH101" s="99">
        <v>81</v>
      </c>
      <c r="AI101" s="113" t="s">
        <v>4552</v>
      </c>
      <c r="AJ101" s="113">
        <v>400000</v>
      </c>
      <c r="AK101" s="99">
        <v>0</v>
      </c>
      <c r="AL101" s="99">
        <f t="shared" si="22"/>
        <v>241</v>
      </c>
      <c r="AM101" s="117">
        <f t="shared" si="10"/>
        <v>96400000</v>
      </c>
      <c r="AN101" s="99"/>
    </row>
    <row r="102" spans="4:47">
      <c r="F102" s="199">
        <f>$L$110/G102</f>
        <v>15722.049689440992</v>
      </c>
      <c r="G102" s="199">
        <f>P48</f>
        <v>257.60000000000002</v>
      </c>
      <c r="H102" s="199" t="s">
        <v>4782</v>
      </c>
      <c r="I102" s="199" t="s">
        <v>4781</v>
      </c>
      <c r="J102" s="214" t="s">
        <v>4241</v>
      </c>
      <c r="K102" s="199">
        <v>175</v>
      </c>
      <c r="L102" s="215">
        <f t="shared" ref="L102:L107" si="23">K102*$L$110</f>
        <v>708750000</v>
      </c>
      <c r="M102" s="215">
        <f>N21+N30+N48</f>
        <v>1295217436.8000002</v>
      </c>
      <c r="N102" s="183">
        <f t="shared" ref="N102:N106" si="24">L102-M102</f>
        <v>-586467436.80000019</v>
      </c>
      <c r="Q102" s="35">
        <v>577500</v>
      </c>
      <c r="R102" s="5" t="s">
        <v>4232</v>
      </c>
      <c r="S102" s="5">
        <f>S101</f>
        <v>218</v>
      </c>
      <c r="T102" s="5" t="s">
        <v>4608</v>
      </c>
      <c r="U102" s="168">
        <v>175</v>
      </c>
      <c r="V102" s="99">
        <f>U102*(1+$R$84+$Q$15*S102/36500)</f>
        <v>206.92575342465756</v>
      </c>
      <c r="W102" s="32">
        <f t="shared" si="20"/>
        <v>211.06426849315071</v>
      </c>
      <c r="X102" s="32">
        <f t="shared" si="21"/>
        <v>215.20278356164386</v>
      </c>
      <c r="Y102" s="96">
        <v>0</v>
      </c>
      <c r="AH102" s="99">
        <v>82</v>
      </c>
      <c r="AI102" s="113" t="s">
        <v>4552</v>
      </c>
      <c r="AJ102" s="113">
        <v>-2105421</v>
      </c>
      <c r="AK102" s="99">
        <v>1</v>
      </c>
      <c r="AL102" s="99">
        <f t="shared" si="22"/>
        <v>241</v>
      </c>
      <c r="AM102" s="117">
        <f t="shared" si="10"/>
        <v>-507406461</v>
      </c>
      <c r="AN102" s="99"/>
      <c r="AO102" t="s">
        <v>25</v>
      </c>
    </row>
    <row r="103" spans="4:47">
      <c r="F103" s="213">
        <v>0</v>
      </c>
      <c r="G103" s="213">
        <v>0</v>
      </c>
      <c r="H103" s="213" t="s">
        <v>4957</v>
      </c>
      <c r="I103" s="213" t="s">
        <v>4958</v>
      </c>
      <c r="J103" s="32" t="s">
        <v>4392</v>
      </c>
      <c r="K103" s="213">
        <v>0</v>
      </c>
      <c r="L103" s="1">
        <f t="shared" si="23"/>
        <v>0</v>
      </c>
      <c r="M103" s="1">
        <f>0</f>
        <v>0</v>
      </c>
      <c r="N103" s="113">
        <f t="shared" si="24"/>
        <v>0</v>
      </c>
      <c r="Q103" s="35">
        <v>12636487</v>
      </c>
      <c r="R103" s="5" t="s">
        <v>3690</v>
      </c>
      <c r="S103" s="5">
        <f>S102-2</f>
        <v>216</v>
      </c>
      <c r="T103" s="5" t="s">
        <v>4611</v>
      </c>
      <c r="U103" s="168">
        <v>172.1</v>
      </c>
      <c r="V103" s="99">
        <f>U103*(1+$R$84+$Q$15*S103/36500)</f>
        <v>203.23265424657535</v>
      </c>
      <c r="W103" s="32">
        <f t="shared" si="20"/>
        <v>207.29730733150686</v>
      </c>
      <c r="X103" s="32">
        <f t="shared" si="21"/>
        <v>211.36196041643836</v>
      </c>
      <c r="Y103" s="96">
        <v>10000</v>
      </c>
      <c r="AH103" s="99">
        <v>83</v>
      </c>
      <c r="AI103" s="113" t="s">
        <v>4555</v>
      </c>
      <c r="AJ103" s="113">
        <v>-5527618</v>
      </c>
      <c r="AK103" s="99">
        <v>0</v>
      </c>
      <c r="AL103" s="99">
        <f t="shared" si="22"/>
        <v>240</v>
      </c>
      <c r="AM103" s="117">
        <f t="shared" si="10"/>
        <v>-1326628320</v>
      </c>
      <c r="AN103" s="99"/>
    </row>
    <row r="104" spans="4:47">
      <c r="F104" s="199">
        <v>0</v>
      </c>
      <c r="G104" s="199">
        <v>0</v>
      </c>
      <c r="H104" s="199" t="s">
        <v>5120</v>
      </c>
      <c r="I104" s="199" t="s">
        <v>5119</v>
      </c>
      <c r="J104" s="214" t="s">
        <v>4388</v>
      </c>
      <c r="K104" s="199">
        <v>0</v>
      </c>
      <c r="L104" s="215">
        <f t="shared" si="23"/>
        <v>0</v>
      </c>
      <c r="M104" s="215">
        <f>0</f>
        <v>0</v>
      </c>
      <c r="N104" s="183">
        <f t="shared" si="24"/>
        <v>0</v>
      </c>
      <c r="Q104" s="169">
        <v>12102</v>
      </c>
      <c r="R104" s="168" t="s">
        <v>4614</v>
      </c>
      <c r="S104" s="168">
        <f>S103-3</f>
        <v>213</v>
      </c>
      <c r="T104" s="168" t="s">
        <v>5204</v>
      </c>
      <c r="U104" s="168">
        <v>1204.7</v>
      </c>
      <c r="V104" s="99">
        <f>U104*(1+$R$84+$Q$15*S104/36500)</f>
        <v>1419.8561194520551</v>
      </c>
      <c r="W104" s="32">
        <f t="shared" si="20"/>
        <v>1448.2532418410963</v>
      </c>
      <c r="X104" s="32">
        <f t="shared" si="21"/>
        <v>1476.6503642301373</v>
      </c>
      <c r="Y104" s="96">
        <v>5664</v>
      </c>
      <c r="AH104" s="99">
        <v>84</v>
      </c>
      <c r="AI104" s="113" t="s">
        <v>4555</v>
      </c>
      <c r="AJ104" s="113">
        <v>3900000</v>
      </c>
      <c r="AK104" s="99">
        <v>3</v>
      </c>
      <c r="AL104" s="99">
        <f t="shared" si="22"/>
        <v>240</v>
      </c>
      <c r="AM104" s="117">
        <f t="shared" si="10"/>
        <v>936000000</v>
      </c>
      <c r="AN104" s="99"/>
    </row>
    <row r="105" spans="4:47">
      <c r="F105" s="213">
        <f>$L$110/G105</f>
        <v>5470.7550992840743</v>
      </c>
      <c r="G105" s="213">
        <f>P45</f>
        <v>740.3</v>
      </c>
      <c r="H105" s="213" t="s">
        <v>4674</v>
      </c>
      <c r="I105" s="213" t="s">
        <v>4673</v>
      </c>
      <c r="J105" s="32" t="s">
        <v>4406</v>
      </c>
      <c r="K105" s="213">
        <v>43</v>
      </c>
      <c r="L105" s="1">
        <f t="shared" si="23"/>
        <v>174150000</v>
      </c>
      <c r="M105" s="1">
        <f>N45+N25</f>
        <v>177774161.39999998</v>
      </c>
      <c r="N105" s="113">
        <f t="shared" si="24"/>
        <v>-3624161.3999999762</v>
      </c>
      <c r="Q105" s="39">
        <v>11121445</v>
      </c>
      <c r="R105" s="5" t="s">
        <v>4614</v>
      </c>
      <c r="S105" s="5">
        <f>S104</f>
        <v>213</v>
      </c>
      <c r="T105" s="5" t="s">
        <v>4792</v>
      </c>
      <c r="U105" s="168">
        <v>171.8</v>
      </c>
      <c r="V105" s="99">
        <f>U105*(1+$R$84+$Q$15*S105/36500)</f>
        <v>202.48300931506853</v>
      </c>
      <c r="W105" s="32">
        <f t="shared" si="20"/>
        <v>206.5326695013699</v>
      </c>
      <c r="X105" s="32">
        <f t="shared" si="21"/>
        <v>210.58232968767129</v>
      </c>
      <c r="Y105" s="96">
        <v>10000</v>
      </c>
      <c r="AH105" s="99">
        <v>85</v>
      </c>
      <c r="AI105" s="113" t="s">
        <v>4556</v>
      </c>
      <c r="AJ105" s="113">
        <v>-3969754</v>
      </c>
      <c r="AK105" s="99">
        <v>1</v>
      </c>
      <c r="AL105" s="99">
        <f t="shared" si="22"/>
        <v>237</v>
      </c>
      <c r="AM105" s="117">
        <f t="shared" si="10"/>
        <v>-940831698</v>
      </c>
      <c r="AN105" s="99"/>
    </row>
    <row r="106" spans="4:47">
      <c r="F106" s="199"/>
      <c r="G106" s="199"/>
      <c r="H106" s="199"/>
      <c r="I106" s="199"/>
      <c r="J106" s="214" t="s">
        <v>4650</v>
      </c>
      <c r="K106" s="199">
        <v>1</v>
      </c>
      <c r="L106" s="215">
        <f t="shared" si="23"/>
        <v>4050000</v>
      </c>
      <c r="M106" s="215">
        <f>N43</f>
        <v>16674</v>
      </c>
      <c r="N106" s="183">
        <f t="shared" si="24"/>
        <v>4033326</v>
      </c>
      <c r="Q106" s="35">
        <v>40048573</v>
      </c>
      <c r="R106" s="5" t="s">
        <v>4624</v>
      </c>
      <c r="S106" s="5">
        <f>S105-3</f>
        <v>210</v>
      </c>
      <c r="T106" s="5" t="s">
        <v>4628</v>
      </c>
      <c r="U106" s="168">
        <v>498.9</v>
      </c>
      <c r="V106" s="99">
        <f>U106*(1+$R$84+$Q$15*S106/36500)</f>
        <v>586.85401972602745</v>
      </c>
      <c r="W106" s="32">
        <f t="shared" ref="W106:W138" si="25">V106*(1+$W$19/100)</f>
        <v>598.59110012054805</v>
      </c>
      <c r="X106" s="32">
        <f t="shared" ref="X106:X138" si="26">V106*(1+$X$19/100)</f>
        <v>610.32818051506854</v>
      </c>
      <c r="Y106" s="96">
        <v>8695</v>
      </c>
      <c r="AH106" s="99">
        <v>86</v>
      </c>
      <c r="AI106" s="113" t="s">
        <v>4567</v>
      </c>
      <c r="AJ106" s="113">
        <v>-25574455</v>
      </c>
      <c r="AK106" s="99">
        <v>0</v>
      </c>
      <c r="AL106" s="99">
        <f t="shared" si="22"/>
        <v>236</v>
      </c>
      <c r="AM106" s="117">
        <f t="shared" si="10"/>
        <v>-6035571380</v>
      </c>
      <c r="AN106" s="99"/>
      <c r="AP106" t="s">
        <v>25</v>
      </c>
    </row>
    <row r="107" spans="4:47">
      <c r="F107" s="191"/>
      <c r="G107" s="191"/>
      <c r="H107" s="191"/>
      <c r="I107" s="191"/>
      <c r="J107" s="258" t="s">
        <v>5209</v>
      </c>
      <c r="K107" s="191">
        <v>137</v>
      </c>
      <c r="L107" s="259">
        <f t="shared" si="23"/>
        <v>554850000</v>
      </c>
      <c r="M107" s="259">
        <v>0</v>
      </c>
      <c r="N107" s="86">
        <f>L107-M107</f>
        <v>554850000</v>
      </c>
      <c r="Q107" s="35">
        <v>559461</v>
      </c>
      <c r="R107" s="5" t="s">
        <v>4662</v>
      </c>
      <c r="S107" s="5">
        <f>S106-7</f>
        <v>203</v>
      </c>
      <c r="T107" s="5" t="s">
        <v>4669</v>
      </c>
      <c r="U107" s="210">
        <v>508.1</v>
      </c>
      <c r="V107" s="99">
        <f>U107*(1+$R$84+$Q$15*S107/36500)</f>
        <v>594.947514520548</v>
      </c>
      <c r="W107" s="32">
        <f t="shared" si="25"/>
        <v>606.84646481095899</v>
      </c>
      <c r="X107" s="32">
        <f t="shared" si="26"/>
        <v>618.74541510136999</v>
      </c>
      <c r="Y107" s="96"/>
      <c r="AH107" s="99">
        <v>87</v>
      </c>
      <c r="AI107" s="113" t="s">
        <v>4567</v>
      </c>
      <c r="AJ107" s="113">
        <v>4000000</v>
      </c>
      <c r="AK107" s="99">
        <v>1</v>
      </c>
      <c r="AL107" s="99">
        <f t="shared" si="22"/>
        <v>236</v>
      </c>
      <c r="AM107" s="117">
        <f t="shared" si="10"/>
        <v>944000000</v>
      </c>
      <c r="AN107" s="99"/>
    </row>
    <row r="108" spans="4:47">
      <c r="F108" s="213"/>
      <c r="G108" s="213"/>
      <c r="H108" s="213"/>
      <c r="I108" s="213"/>
      <c r="J108" s="32" t="s">
        <v>4756</v>
      </c>
      <c r="K108" s="213"/>
      <c r="L108" s="1"/>
      <c r="M108" s="1"/>
      <c r="N108" s="113">
        <v>30000000</v>
      </c>
      <c r="O108" t="s">
        <v>25</v>
      </c>
      <c r="Q108" s="35">
        <v>622942</v>
      </c>
      <c r="R108" s="5" t="s">
        <v>4675</v>
      </c>
      <c r="S108" s="5">
        <f>S107-1</f>
        <v>202</v>
      </c>
      <c r="T108" s="5" t="s">
        <v>4676</v>
      </c>
      <c r="U108" s="210">
        <v>503.3</v>
      </c>
      <c r="V108" s="99">
        <f>U108*(1+$R$84+$Q$15*S108/36500)</f>
        <v>588.9409764383563</v>
      </c>
      <c r="W108" s="32">
        <f t="shared" si="25"/>
        <v>600.71979596712345</v>
      </c>
      <c r="X108" s="32">
        <f t="shared" si="26"/>
        <v>612.49861549589059</v>
      </c>
      <c r="Y108" s="96"/>
      <c r="AH108" s="99">
        <v>88</v>
      </c>
      <c r="AI108" s="113" t="s">
        <v>993</v>
      </c>
      <c r="AJ108" s="113">
        <v>-5000000</v>
      </c>
      <c r="AK108" s="99">
        <v>2</v>
      </c>
      <c r="AL108" s="99">
        <f t="shared" si="22"/>
        <v>235</v>
      </c>
      <c r="AM108" s="117">
        <f t="shared" si="10"/>
        <v>-1175000000</v>
      </c>
      <c r="AN108" s="99"/>
    </row>
    <row r="109" spans="4:47">
      <c r="F109" s="199"/>
      <c r="G109" s="199"/>
      <c r="H109" s="199"/>
      <c r="I109" s="199"/>
      <c r="J109" s="214" t="s">
        <v>5152</v>
      </c>
      <c r="K109" s="199">
        <f>SUM(K102:K107)</f>
        <v>356</v>
      </c>
      <c r="L109" s="215"/>
      <c r="M109" s="215"/>
      <c r="N109" s="183"/>
      <c r="Q109" s="35">
        <v>1472140</v>
      </c>
      <c r="R109" s="5" t="s">
        <v>4681</v>
      </c>
      <c r="S109" s="5">
        <f>S108-3</f>
        <v>199</v>
      </c>
      <c r="T109" s="5" t="s">
        <v>4683</v>
      </c>
      <c r="U109" s="168">
        <v>502</v>
      </c>
      <c r="V109" s="99">
        <f>U109*(1+$R$84+$Q$15*S109/36500)</f>
        <v>586.26448219178098</v>
      </c>
      <c r="W109" s="32">
        <f t="shared" si="25"/>
        <v>597.98977183561658</v>
      </c>
      <c r="X109" s="32">
        <f t="shared" si="26"/>
        <v>609.71506147945229</v>
      </c>
      <c r="Y109" s="96"/>
      <c r="AD109" s="96"/>
      <c r="AE109"/>
      <c r="AF109"/>
      <c r="AH109" s="99">
        <v>89</v>
      </c>
      <c r="AI109" s="113" t="s">
        <v>4572</v>
      </c>
      <c r="AJ109" s="113">
        <v>10000000</v>
      </c>
      <c r="AK109" s="99">
        <v>4</v>
      </c>
      <c r="AL109" s="99">
        <f t="shared" si="22"/>
        <v>233</v>
      </c>
      <c r="AM109" s="117">
        <f t="shared" si="10"/>
        <v>2330000000</v>
      </c>
      <c r="AN109" s="99"/>
    </row>
    <row r="110" spans="4:47">
      <c r="F110" s="213"/>
      <c r="G110" s="213"/>
      <c r="H110" s="213" t="s">
        <v>25</v>
      </c>
      <c r="I110" s="213"/>
      <c r="J110" s="32"/>
      <c r="K110" s="213">
        <v>0</v>
      </c>
      <c r="L110" s="39">
        <f>10*P49</f>
        <v>4050000</v>
      </c>
      <c r="M110" s="1">
        <f>K110*L110</f>
        <v>0</v>
      </c>
      <c r="N110" s="113">
        <f>SUM(N102:N108)-M110</f>
        <v>-1208272.2000001669</v>
      </c>
      <c r="P110" s="114"/>
      <c r="Q110" s="35">
        <v>4003090</v>
      </c>
      <c r="R110" s="5" t="s">
        <v>4685</v>
      </c>
      <c r="S110" s="5">
        <f>S109-1</f>
        <v>198</v>
      </c>
      <c r="T110" s="5" t="s">
        <v>5140</v>
      </c>
      <c r="U110" s="168">
        <v>481.7</v>
      </c>
      <c r="V110" s="99">
        <f>U110*(1+$R$84+$Q$15*S110/36500)</f>
        <v>562.18745095890415</v>
      </c>
      <c r="W110" s="32">
        <f t="shared" si="25"/>
        <v>573.43119997808219</v>
      </c>
      <c r="X110" s="32">
        <f t="shared" si="26"/>
        <v>584.67494899726034</v>
      </c>
      <c r="AH110" s="99">
        <v>90</v>
      </c>
      <c r="AI110" s="113" t="s">
        <v>4574</v>
      </c>
      <c r="AJ110" s="113">
        <v>-5241937</v>
      </c>
      <c r="AK110" s="99">
        <v>0</v>
      </c>
      <c r="AL110" s="99">
        <f t="shared" si="22"/>
        <v>229</v>
      </c>
      <c r="AM110" s="117">
        <f t="shared" si="10"/>
        <v>-1200403573</v>
      </c>
      <c r="AN110" s="99"/>
    </row>
    <row r="111" spans="4:47">
      <c r="F111" s="199"/>
      <c r="G111" s="199"/>
      <c r="H111" s="199"/>
      <c r="I111" s="199"/>
      <c r="J111" s="214"/>
      <c r="K111" s="245"/>
      <c r="L111" s="215" t="s">
        <v>4251</v>
      </c>
      <c r="M111" s="215" t="s">
        <v>4658</v>
      </c>
      <c r="N111" s="183" t="s">
        <v>4659</v>
      </c>
      <c r="Q111" s="169">
        <v>6150141</v>
      </c>
      <c r="R111" s="213" t="s">
        <v>4873</v>
      </c>
      <c r="S111" s="213">
        <f>S110-64</f>
        <v>134</v>
      </c>
      <c r="T111" s="213" t="s">
        <v>4880</v>
      </c>
      <c r="U111" s="213">
        <v>180.6</v>
      </c>
      <c r="V111" s="99">
        <f>U111*(1+$R$84+$Q$15*S111/36500)</f>
        <v>201.90981041095893</v>
      </c>
      <c r="W111" s="32">
        <f t="shared" si="25"/>
        <v>205.9480066191781</v>
      </c>
      <c r="X111" s="32">
        <f t="shared" si="26"/>
        <v>209.98620282739728</v>
      </c>
      <c r="AH111" s="99">
        <v>91</v>
      </c>
      <c r="AI111" s="113" t="s">
        <v>4574</v>
      </c>
      <c r="AJ111" s="113">
        <v>21900000</v>
      </c>
      <c r="AK111" s="99">
        <v>2</v>
      </c>
      <c r="AL111" s="99">
        <f t="shared" si="22"/>
        <v>229</v>
      </c>
      <c r="AM111" s="117">
        <f t="shared" si="10"/>
        <v>5015100000</v>
      </c>
      <c r="AN111" s="99"/>
      <c r="AP111" t="s">
        <v>25</v>
      </c>
      <c r="AU111"/>
    </row>
    <row r="112" spans="4:47">
      <c r="F112" s="213"/>
      <c r="G112" s="213"/>
      <c r="H112" s="213"/>
      <c r="I112" s="213"/>
      <c r="J112" s="32" t="s">
        <v>4665</v>
      </c>
      <c r="K112" s="213"/>
      <c r="L112" s="1"/>
      <c r="M112" s="1"/>
      <c r="N112" s="113"/>
      <c r="Q112" s="169">
        <v>1399908</v>
      </c>
      <c r="R112" s="213" t="s">
        <v>4943</v>
      </c>
      <c r="S112" s="213">
        <f>S111-20</f>
        <v>114</v>
      </c>
      <c r="T112" s="213" t="s">
        <v>4944</v>
      </c>
      <c r="U112" s="213">
        <v>194</v>
      </c>
      <c r="V112" s="99">
        <f>U112*(1+$R$84+$Q$15*S112/36500)</f>
        <v>213.91449863013702</v>
      </c>
      <c r="W112" s="32">
        <f t="shared" si="25"/>
        <v>218.19278860273977</v>
      </c>
      <c r="X112" s="32">
        <f t="shared" si="26"/>
        <v>222.47107857534252</v>
      </c>
      <c r="Y112">
        <v>13000</v>
      </c>
      <c r="AH112" s="99">
        <v>92</v>
      </c>
      <c r="AI112" s="113" t="s">
        <v>4582</v>
      </c>
      <c r="AJ112" s="113">
        <v>-15000000</v>
      </c>
      <c r="AK112" s="99">
        <v>0</v>
      </c>
      <c r="AL112" s="99">
        <f t="shared" si="22"/>
        <v>227</v>
      </c>
      <c r="AM112" s="117">
        <f t="shared" si="10"/>
        <v>-3405000000</v>
      </c>
      <c r="AN112" s="99"/>
      <c r="AO112" t="s">
        <v>25</v>
      </c>
    </row>
    <row r="113" spans="6:46">
      <c r="M113" t="s">
        <v>25</v>
      </c>
      <c r="Q113" s="169">
        <v>1204033</v>
      </c>
      <c r="R113" s="213" t="s">
        <v>4953</v>
      </c>
      <c r="S113" s="213">
        <f>S112-7</f>
        <v>107</v>
      </c>
      <c r="T113" s="213" t="s">
        <v>4956</v>
      </c>
      <c r="U113" s="213">
        <v>218.5</v>
      </c>
      <c r="V113" s="99">
        <f>U113*(1+$R$84+$Q$15*S113/36500)</f>
        <v>239.75615890410961</v>
      </c>
      <c r="W113" s="32">
        <f t="shared" si="25"/>
        <v>244.55128208219182</v>
      </c>
      <c r="X113" s="32">
        <f t="shared" si="26"/>
        <v>249.346405260274</v>
      </c>
      <c r="Y113" t="s">
        <v>25</v>
      </c>
      <c r="AH113" s="99">
        <v>93</v>
      </c>
      <c r="AI113" s="113" t="s">
        <v>4582</v>
      </c>
      <c r="AJ113" s="113">
        <v>3000000</v>
      </c>
      <c r="AK113" s="99">
        <v>1</v>
      </c>
      <c r="AL113" s="99">
        <f t="shared" si="22"/>
        <v>227</v>
      </c>
      <c r="AM113" s="117">
        <f t="shared" si="10"/>
        <v>681000000</v>
      </c>
      <c r="AN113" s="99"/>
    </row>
    <row r="114" spans="6:46">
      <c r="P114" s="114"/>
      <c r="Q114" s="169">
        <v>8382674</v>
      </c>
      <c r="R114" s="213" t="s">
        <v>4963</v>
      </c>
      <c r="S114" s="213">
        <f>S113-7</f>
        <v>100</v>
      </c>
      <c r="T114" s="213" t="s">
        <v>4969</v>
      </c>
      <c r="U114" s="213">
        <v>192</v>
      </c>
      <c r="V114" s="99">
        <f>U114*(1+$R$84+$Q$15*S114/36500)</f>
        <v>209.64716712328766</v>
      </c>
      <c r="W114" s="32">
        <f t="shared" si="25"/>
        <v>213.84011046575341</v>
      </c>
      <c r="X114" s="32">
        <f t="shared" si="26"/>
        <v>218.03305380821917</v>
      </c>
      <c r="Y114" t="s">
        <v>25</v>
      </c>
      <c r="AH114" s="99">
        <v>94</v>
      </c>
      <c r="AI114" s="113" t="s">
        <v>4586</v>
      </c>
      <c r="AJ114" s="113">
        <v>-2103736</v>
      </c>
      <c r="AK114" s="99">
        <v>0</v>
      </c>
      <c r="AL114" s="99">
        <f t="shared" si="22"/>
        <v>226</v>
      </c>
      <c r="AM114" s="117">
        <f t="shared" si="10"/>
        <v>-475444336</v>
      </c>
      <c r="AN114" s="99"/>
    </row>
    <row r="115" spans="6:46">
      <c r="K115" s="168" t="s">
        <v>4534</v>
      </c>
      <c r="L115" s="168" t="s">
        <v>4535</v>
      </c>
      <c r="M115" s="168" t="s">
        <v>4429</v>
      </c>
      <c r="N115" s="56" t="s">
        <v>190</v>
      </c>
      <c r="Q115" s="169">
        <v>190884649</v>
      </c>
      <c r="R115" s="213" t="s">
        <v>4982</v>
      </c>
      <c r="S115" s="213">
        <f>S114-9</f>
        <v>91</v>
      </c>
      <c r="T115" s="213" t="s">
        <v>4985</v>
      </c>
      <c r="U115" s="213">
        <v>193.6</v>
      </c>
      <c r="V115" s="99">
        <f>U115*(1+$R$84+$Q$15*S115/36500)</f>
        <v>210.05759123287672</v>
      </c>
      <c r="W115" s="32">
        <f t="shared" si="25"/>
        <v>214.25874305753425</v>
      </c>
      <c r="X115" s="32">
        <f t="shared" si="26"/>
        <v>218.4598948821918</v>
      </c>
      <c r="AH115" s="99">
        <v>95</v>
      </c>
      <c r="AI115" s="113" t="s">
        <v>4586</v>
      </c>
      <c r="AJ115" s="113">
        <v>220000</v>
      </c>
      <c r="AK115" s="99">
        <v>3</v>
      </c>
      <c r="AL115" s="99">
        <f t="shared" si="22"/>
        <v>226</v>
      </c>
      <c r="AM115" s="117">
        <f t="shared" si="10"/>
        <v>49720000</v>
      </c>
      <c r="AN115" s="99"/>
      <c r="AR115" s="96"/>
      <c r="AS115" s="96"/>
      <c r="AT115"/>
    </row>
    <row r="116" spans="6:46">
      <c r="H116" s="114"/>
      <c r="K116" s="168" t="s">
        <v>4241</v>
      </c>
      <c r="L116" s="169">
        <v>1100000</v>
      </c>
      <c r="M116" s="169">
        <v>1637000</v>
      </c>
      <c r="N116" s="168">
        <f t="shared" ref="N116:N124" si="27">(M116-L116)*100/L116</f>
        <v>48.81818181818182</v>
      </c>
      <c r="Q116" s="169">
        <v>2099962</v>
      </c>
      <c r="R116" s="213" t="s">
        <v>4984</v>
      </c>
      <c r="S116" s="213">
        <f>S115-1</f>
        <v>90</v>
      </c>
      <c r="T116" s="213" t="s">
        <v>4988</v>
      </c>
      <c r="U116" s="213">
        <v>196.5</v>
      </c>
      <c r="V116" s="99">
        <f>U116*(1+$R$84+$Q$15*S116/36500)</f>
        <v>213.05337534246578</v>
      </c>
      <c r="W116" s="32">
        <f t="shared" si="25"/>
        <v>217.3144428493151</v>
      </c>
      <c r="X116" s="32">
        <f t="shared" si="26"/>
        <v>221.57551035616441</v>
      </c>
      <c r="Y116">
        <v>23000</v>
      </c>
      <c r="AH116" s="99">
        <v>96</v>
      </c>
      <c r="AI116" s="113" t="s">
        <v>4595</v>
      </c>
      <c r="AJ116" s="113">
        <v>4000000</v>
      </c>
      <c r="AK116" s="99">
        <v>1</v>
      </c>
      <c r="AL116" s="99">
        <f t="shared" si="22"/>
        <v>223</v>
      </c>
      <c r="AM116" s="117">
        <f t="shared" si="10"/>
        <v>892000000</v>
      </c>
      <c r="AN116" s="99"/>
    </row>
    <row r="117" spans="6:46">
      <c r="F117" s="96"/>
      <c r="G117" s="213"/>
      <c r="H117" s="213" t="s">
        <v>5180</v>
      </c>
      <c r="I117" s="213" t="s">
        <v>5157</v>
      </c>
      <c r="J117" s="1">
        <v>16404873</v>
      </c>
      <c r="K117" s="5" t="s">
        <v>4529</v>
      </c>
      <c r="L117" s="169">
        <v>1100000</v>
      </c>
      <c r="M117" s="169">
        <v>4748000</v>
      </c>
      <c r="N117" s="168">
        <f t="shared" si="27"/>
        <v>331.63636363636363</v>
      </c>
      <c r="Q117" s="169">
        <v>130756</v>
      </c>
      <c r="R117" s="213" t="s">
        <v>4989</v>
      </c>
      <c r="S117" s="213">
        <f>S116-1</f>
        <v>89</v>
      </c>
      <c r="T117" s="213" t="s">
        <v>4990</v>
      </c>
      <c r="U117" s="213">
        <v>197.8</v>
      </c>
      <c r="V117" s="99">
        <f>U117*(1+$R$84+$Q$15*S117/36500)</f>
        <v>214.31115178082194</v>
      </c>
      <c r="W117" s="32">
        <f t="shared" si="25"/>
        <v>218.59737481643839</v>
      </c>
      <c r="X117" s="32">
        <f t="shared" si="26"/>
        <v>222.88359785205483</v>
      </c>
      <c r="Y117">
        <v>6000</v>
      </c>
      <c r="AH117" s="99">
        <v>97</v>
      </c>
      <c r="AI117" s="113" t="s">
        <v>4600</v>
      </c>
      <c r="AJ117" s="113">
        <v>-9000000</v>
      </c>
      <c r="AK117" s="99">
        <v>0</v>
      </c>
      <c r="AL117" s="99">
        <f t="shared" si="22"/>
        <v>222</v>
      </c>
      <c r="AM117" s="117">
        <f t="shared" si="10"/>
        <v>-1998000000</v>
      </c>
      <c r="AN117" s="99"/>
      <c r="AP117" t="s">
        <v>25</v>
      </c>
    </row>
    <row r="118" spans="6:46">
      <c r="F118" s="96"/>
      <c r="G118" s="213" t="s">
        <v>940</v>
      </c>
      <c r="H118" s="213" t="s">
        <v>4534</v>
      </c>
      <c r="I118" s="213" t="s">
        <v>936</v>
      </c>
      <c r="J118" s="213" t="s">
        <v>4754</v>
      </c>
      <c r="K118" s="5" t="s">
        <v>4530</v>
      </c>
      <c r="L118" s="169">
        <v>1100000</v>
      </c>
      <c r="M118" s="169">
        <v>5137000</v>
      </c>
      <c r="N118" s="168">
        <f t="shared" si="27"/>
        <v>367</v>
      </c>
      <c r="Q118" s="169">
        <v>795874</v>
      </c>
      <c r="R118" s="213" t="s">
        <v>5003</v>
      </c>
      <c r="S118" s="213">
        <f>S117-6</f>
        <v>83</v>
      </c>
      <c r="T118" s="213" t="s">
        <v>5004</v>
      </c>
      <c r="U118" s="213">
        <v>198.1</v>
      </c>
      <c r="V118" s="99">
        <f>U118*(1+$R$84+$Q$15*S118/36500)</f>
        <v>213.72439123287674</v>
      </c>
      <c r="W118" s="32">
        <f t="shared" si="25"/>
        <v>217.99887905753428</v>
      </c>
      <c r="X118" s="32">
        <f t="shared" si="26"/>
        <v>222.27336688219182</v>
      </c>
      <c r="AH118" s="99">
        <v>98</v>
      </c>
      <c r="AI118" s="113" t="s">
        <v>4600</v>
      </c>
      <c r="AJ118" s="113">
        <v>13900000</v>
      </c>
      <c r="AK118" s="99">
        <v>2</v>
      </c>
      <c r="AL118" s="99">
        <f t="shared" si="22"/>
        <v>222</v>
      </c>
      <c r="AM118" s="117">
        <f t="shared" si="10"/>
        <v>3085800000</v>
      </c>
      <c r="AN118" s="99"/>
    </row>
    <row r="119" spans="6:46">
      <c r="F119" s="96"/>
      <c r="G119" s="1">
        <f>P48</f>
        <v>257.60000000000002</v>
      </c>
      <c r="H119" s="213" t="s">
        <v>4241</v>
      </c>
      <c r="I119" s="213">
        <v>151599</v>
      </c>
      <c r="J119" s="1">
        <f>I119*G119</f>
        <v>39051902.400000006</v>
      </c>
      <c r="K119" s="19" t="s">
        <v>4388</v>
      </c>
      <c r="L119" s="169">
        <v>1100000</v>
      </c>
      <c r="M119" s="169">
        <v>4300000</v>
      </c>
      <c r="N119" s="168">
        <f t="shared" si="27"/>
        <v>290.90909090909093</v>
      </c>
      <c r="P119" s="114"/>
      <c r="Q119" s="169">
        <v>400348</v>
      </c>
      <c r="R119" s="213" t="s">
        <v>5006</v>
      </c>
      <c r="S119" s="213">
        <f>S118-1</f>
        <v>82</v>
      </c>
      <c r="T119" s="213" t="s">
        <v>5008</v>
      </c>
      <c r="U119" s="213">
        <v>199.3</v>
      </c>
      <c r="V119" s="99">
        <f>U119*(1+$R$84+$Q$15*S119/36500)</f>
        <v>214.86614904109589</v>
      </c>
      <c r="W119" s="32">
        <f t="shared" si="25"/>
        <v>219.16347202191781</v>
      </c>
      <c r="X119" s="32">
        <f t="shared" si="26"/>
        <v>223.46079500273973</v>
      </c>
      <c r="Y119">
        <v>3300</v>
      </c>
      <c r="AH119" s="99">
        <v>99</v>
      </c>
      <c r="AI119" s="113" t="s">
        <v>4609</v>
      </c>
      <c r="AJ119" s="113">
        <v>-8127577</v>
      </c>
      <c r="AK119" s="99">
        <v>1</v>
      </c>
      <c r="AL119" s="99">
        <f t="shared" si="22"/>
        <v>220</v>
      </c>
      <c r="AM119" s="117">
        <f t="shared" si="10"/>
        <v>-1788066940</v>
      </c>
      <c r="AN119" s="99"/>
      <c r="AO119" t="s">
        <v>25</v>
      </c>
      <c r="AQ119" t="s">
        <v>25</v>
      </c>
    </row>
    <row r="120" spans="6:46">
      <c r="F120" s="96"/>
      <c r="G120" s="1">
        <f>P44</f>
        <v>4110.2</v>
      </c>
      <c r="H120" s="213" t="s">
        <v>4388</v>
      </c>
      <c r="I120" s="213">
        <v>0</v>
      </c>
      <c r="J120" s="1">
        <f t="shared" ref="J120:J121" si="28">I120*G120</f>
        <v>0</v>
      </c>
      <c r="K120" s="5" t="s">
        <v>4406</v>
      </c>
      <c r="L120" s="169">
        <v>1100000</v>
      </c>
      <c r="M120" s="169">
        <v>3191000</v>
      </c>
      <c r="N120" s="168">
        <f t="shared" si="27"/>
        <v>190.09090909090909</v>
      </c>
      <c r="Q120" s="169">
        <v>5896463</v>
      </c>
      <c r="R120" s="213" t="s">
        <v>5017</v>
      </c>
      <c r="S120" s="213">
        <f>S119-4</f>
        <v>78</v>
      </c>
      <c r="T120" s="213" t="s">
        <v>5018</v>
      </c>
      <c r="U120" s="213">
        <v>197.4</v>
      </c>
      <c r="V120" s="99">
        <f>U120*(1+$R$84+$Q$15*S120/36500)</f>
        <v>212.21203068493153</v>
      </c>
      <c r="W120" s="32">
        <f t="shared" si="25"/>
        <v>216.45627129863016</v>
      </c>
      <c r="X120" s="32">
        <f t="shared" si="26"/>
        <v>220.70051191232881</v>
      </c>
      <c r="AH120" s="99">
        <v>100</v>
      </c>
      <c r="AI120" s="113" t="s">
        <v>3690</v>
      </c>
      <c r="AJ120" s="113">
        <v>15792549</v>
      </c>
      <c r="AK120" s="99">
        <v>3</v>
      </c>
      <c r="AL120" s="99">
        <f t="shared" si="22"/>
        <v>219</v>
      </c>
      <c r="AM120" s="117">
        <f t="shared" si="10"/>
        <v>3458568231</v>
      </c>
      <c r="AN120" s="99"/>
      <c r="AO120" t="s">
        <v>25</v>
      </c>
      <c r="AP120" t="s">
        <v>25</v>
      </c>
    </row>
    <row r="121" spans="6:46">
      <c r="F121" s="96"/>
      <c r="G121" s="1">
        <f>P45</f>
        <v>740.3</v>
      </c>
      <c r="H121" s="213" t="s">
        <v>4406</v>
      </c>
      <c r="I121" s="213">
        <v>1205</v>
      </c>
      <c r="J121" s="1">
        <f t="shared" si="28"/>
        <v>892061.5</v>
      </c>
      <c r="K121" s="5" t="s">
        <v>4531</v>
      </c>
      <c r="L121" s="169">
        <v>1100000</v>
      </c>
      <c r="M121" s="169">
        <v>5623000</v>
      </c>
      <c r="N121" s="168">
        <f t="shared" si="27"/>
        <v>411.18181818181819</v>
      </c>
      <c r="Q121" s="169">
        <v>1499873</v>
      </c>
      <c r="R121" s="213" t="s">
        <v>5031</v>
      </c>
      <c r="S121" s="213">
        <f>S120-8</f>
        <v>70</v>
      </c>
      <c r="T121" s="213" t="s">
        <v>5035</v>
      </c>
      <c r="U121" s="213">
        <v>200.1</v>
      </c>
      <c r="V121" s="99">
        <f>U121*(1+$R$84+$Q$15*S121/36500)</f>
        <v>213.88661589041098</v>
      </c>
      <c r="W121" s="32">
        <f t="shared" si="25"/>
        <v>218.1643482082192</v>
      </c>
      <c r="X121" s="32">
        <f t="shared" si="26"/>
        <v>222.44208052602744</v>
      </c>
      <c r="AH121" s="99">
        <v>101</v>
      </c>
      <c r="AI121" s="113" t="s">
        <v>4614</v>
      </c>
      <c r="AJ121" s="113">
        <v>8800000</v>
      </c>
      <c r="AK121" s="99">
        <v>0</v>
      </c>
      <c r="AL121" s="99">
        <f t="shared" ref="AL121:AL125" si="29">AL122+AK121</f>
        <v>216</v>
      </c>
      <c r="AM121" s="117">
        <f t="shared" ref="AM121:AM144" si="30">AJ121*AL121</f>
        <v>1900800000</v>
      </c>
      <c r="AN121" s="99"/>
      <c r="AP121" t="s">
        <v>25</v>
      </c>
    </row>
    <row r="122" spans="6:46" ht="45">
      <c r="F122" s="96"/>
      <c r="G122" s="1"/>
      <c r="H122" s="213" t="s">
        <v>25</v>
      </c>
      <c r="I122" s="213"/>
      <c r="J122" s="1"/>
      <c r="K122" s="19" t="s">
        <v>4392</v>
      </c>
      <c r="L122" s="169">
        <v>1100000</v>
      </c>
      <c r="M122" s="169">
        <v>7728000</v>
      </c>
      <c r="N122" s="168">
        <f t="shared" si="27"/>
        <v>602.5454545454545</v>
      </c>
      <c r="Q122" s="169">
        <v>25141103</v>
      </c>
      <c r="R122" s="213" t="s">
        <v>5057</v>
      </c>
      <c r="S122" s="213">
        <f>S121-7</f>
        <v>63</v>
      </c>
      <c r="T122" s="213" t="s">
        <v>5060</v>
      </c>
      <c r="U122" s="213">
        <v>211.3</v>
      </c>
      <c r="V122" s="99">
        <f>U122*(1+$R$84+$Q$15*S122/36500)</f>
        <v>224.72362849315073</v>
      </c>
      <c r="W122" s="32">
        <f t="shared" si="25"/>
        <v>229.21810106301373</v>
      </c>
      <c r="X122" s="32">
        <f t="shared" si="26"/>
        <v>233.71257363287677</v>
      </c>
      <c r="Y122" t="s">
        <v>25</v>
      </c>
      <c r="AH122" s="121">
        <v>102</v>
      </c>
      <c r="AI122" s="79" t="s">
        <v>4614</v>
      </c>
      <c r="AJ122" s="79">
        <v>13071612</v>
      </c>
      <c r="AK122" s="121">
        <v>1</v>
      </c>
      <c r="AL122" s="121">
        <f t="shared" si="29"/>
        <v>216</v>
      </c>
      <c r="AM122" s="79">
        <f t="shared" si="30"/>
        <v>2823468192</v>
      </c>
      <c r="AN122" s="205" t="s">
        <v>4615</v>
      </c>
    </row>
    <row r="123" spans="6:46">
      <c r="F123" s="96"/>
      <c r="G123" s="213"/>
      <c r="H123" s="213"/>
      <c r="I123" s="113">
        <f>J123-J117</f>
        <v>23539090.900000006</v>
      </c>
      <c r="J123" s="1">
        <f>SUM(J119:J121)</f>
        <v>39943963.900000006</v>
      </c>
      <c r="K123" s="5" t="s">
        <v>4533</v>
      </c>
      <c r="L123" s="169">
        <v>1100000</v>
      </c>
      <c r="M123" s="169">
        <v>2904000</v>
      </c>
      <c r="N123" s="168">
        <f t="shared" si="27"/>
        <v>164</v>
      </c>
      <c r="Q123" s="169">
        <v>120581</v>
      </c>
      <c r="R123" s="213" t="s">
        <v>5061</v>
      </c>
      <c r="S123" s="213">
        <f>S122-1</f>
        <v>62</v>
      </c>
      <c r="T123" s="213" t="s">
        <v>5062</v>
      </c>
      <c r="U123" s="213">
        <v>210.2</v>
      </c>
      <c r="V123" s="99">
        <f>U123*(1+$R$84+$Q$15*S123/36500)</f>
        <v>223.39249753424656</v>
      </c>
      <c r="W123" s="32">
        <f t="shared" si="25"/>
        <v>227.86034748493148</v>
      </c>
      <c r="X123" s="32">
        <f t="shared" si="26"/>
        <v>232.32819743561643</v>
      </c>
      <c r="Y123" t="s">
        <v>25</v>
      </c>
      <c r="AH123" s="89">
        <v>103</v>
      </c>
      <c r="AI123" s="90" t="s">
        <v>4618</v>
      </c>
      <c r="AJ123" s="90">
        <v>16727037</v>
      </c>
      <c r="AK123" s="89">
        <v>0</v>
      </c>
      <c r="AL123" s="89">
        <f t="shared" si="29"/>
        <v>215</v>
      </c>
      <c r="AM123" s="90">
        <f t="shared" si="30"/>
        <v>3596312955</v>
      </c>
      <c r="AN123" s="89" t="s">
        <v>4625</v>
      </c>
    </row>
    <row r="124" spans="6:46">
      <c r="G124" s="213"/>
      <c r="H124" s="213"/>
      <c r="I124" s="213" t="s">
        <v>916</v>
      </c>
      <c r="J124" s="213" t="s">
        <v>6</v>
      </c>
      <c r="K124" s="264" t="s">
        <v>1085</v>
      </c>
      <c r="L124" s="169">
        <v>1100000</v>
      </c>
      <c r="M124" s="169">
        <v>3400000</v>
      </c>
      <c r="N124" s="168">
        <f t="shared" si="27"/>
        <v>209.09090909090909</v>
      </c>
      <c r="P124" s="114"/>
      <c r="Q124" s="169">
        <v>500951</v>
      </c>
      <c r="R124" s="213" t="s">
        <v>5061</v>
      </c>
      <c r="S124" s="213">
        <f>S123</f>
        <v>62</v>
      </c>
      <c r="T124" s="213" t="s">
        <v>5066</v>
      </c>
      <c r="U124" s="213">
        <v>209.6</v>
      </c>
      <c r="V124" s="99">
        <f>U124*(1+$R$84+$Q$15*S124/36500)</f>
        <v>222.75484054794521</v>
      </c>
      <c r="W124" s="32">
        <f t="shared" si="25"/>
        <v>227.20993735890411</v>
      </c>
      <c r="X124" s="32">
        <f t="shared" si="26"/>
        <v>231.66503416986302</v>
      </c>
      <c r="Y124" s="122" t="s">
        <v>25</v>
      </c>
      <c r="AH124" s="99">
        <v>104</v>
      </c>
      <c r="AI124" s="113" t="s">
        <v>4618</v>
      </c>
      <c r="AJ124" s="113">
        <v>12000000</v>
      </c>
      <c r="AK124" s="99">
        <v>1</v>
      </c>
      <c r="AL124" s="99">
        <f t="shared" si="29"/>
        <v>215</v>
      </c>
      <c r="AM124" s="117">
        <f t="shared" si="30"/>
        <v>2580000000</v>
      </c>
      <c r="AN124" s="99" t="s">
        <v>4626</v>
      </c>
    </row>
    <row r="125" spans="6:46">
      <c r="K125" s="243" t="s">
        <v>4562</v>
      </c>
      <c r="Q125" s="169">
        <v>493081</v>
      </c>
      <c r="R125" s="213" t="s">
        <v>5069</v>
      </c>
      <c r="S125" s="213">
        <f>S124-1</f>
        <v>61</v>
      </c>
      <c r="T125" s="213" t="s">
        <v>5071</v>
      </c>
      <c r="U125" s="213">
        <v>205.1</v>
      </c>
      <c r="V125" s="99">
        <f>U125*(1+$R$84+$Q$15*S125/36500)</f>
        <v>217.81507616438358</v>
      </c>
      <c r="W125" s="32">
        <f t="shared" si="25"/>
        <v>222.17137768767125</v>
      </c>
      <c r="X125" s="32">
        <f t="shared" si="26"/>
        <v>226.52767921095892</v>
      </c>
      <c r="AH125" s="89">
        <v>105</v>
      </c>
      <c r="AI125" s="90" t="s">
        <v>4545</v>
      </c>
      <c r="AJ125" s="90">
        <v>88697667</v>
      </c>
      <c r="AK125" s="89">
        <v>1</v>
      </c>
      <c r="AL125" s="89">
        <f t="shared" si="29"/>
        <v>214</v>
      </c>
      <c r="AM125" s="90">
        <f t="shared" si="30"/>
        <v>18981300738</v>
      </c>
      <c r="AN125" s="89" t="s">
        <v>4627</v>
      </c>
      <c r="AP125" t="s">
        <v>25</v>
      </c>
    </row>
    <row r="126" spans="6:46">
      <c r="G126" s="99"/>
      <c r="H126" s="213" t="s">
        <v>5158</v>
      </c>
      <c r="I126" s="99" t="s">
        <v>5094</v>
      </c>
      <c r="J126" s="1">
        <v>6319143</v>
      </c>
      <c r="K126" s="243" t="s">
        <v>4563</v>
      </c>
      <c r="Q126" s="169">
        <v>43287917</v>
      </c>
      <c r="R126" s="213" t="s">
        <v>5073</v>
      </c>
      <c r="S126" s="213">
        <f>S125-3</f>
        <v>58</v>
      </c>
      <c r="T126" s="213" t="s">
        <v>5098</v>
      </c>
      <c r="U126" s="213">
        <v>203.6</v>
      </c>
      <c r="V126" s="99">
        <f>U126*(1+$R$84+$Q$15*S126/36500)</f>
        <v>215.75352547945207</v>
      </c>
      <c r="W126" s="32">
        <f t="shared" si="25"/>
        <v>220.06859598904111</v>
      </c>
      <c r="X126" s="32">
        <f t="shared" si="26"/>
        <v>224.38366649863016</v>
      </c>
      <c r="Y126" t="s">
        <v>25</v>
      </c>
      <c r="AH126" s="99">
        <v>106</v>
      </c>
      <c r="AI126" s="113" t="s">
        <v>4548</v>
      </c>
      <c r="AJ126" s="113">
        <v>101000</v>
      </c>
      <c r="AK126" s="99">
        <v>0</v>
      </c>
      <c r="AL126" s="99">
        <f>AL127+AK126</f>
        <v>213</v>
      </c>
      <c r="AM126" s="117">
        <f t="shared" si="30"/>
        <v>21513000</v>
      </c>
      <c r="AN126" s="99"/>
      <c r="AQ126" t="s">
        <v>25</v>
      </c>
    </row>
    <row r="127" spans="6:46">
      <c r="G127" s="1">
        <f>P48</f>
        <v>257.60000000000002</v>
      </c>
      <c r="H127" s="99" t="s">
        <v>4241</v>
      </c>
      <c r="I127" s="99">
        <v>33899</v>
      </c>
      <c r="J127" s="1">
        <f>G127*I127</f>
        <v>8732382.4000000004</v>
      </c>
      <c r="K127" s="243" t="s">
        <v>4564</v>
      </c>
      <c r="Q127" s="169">
        <v>3195995</v>
      </c>
      <c r="R127" s="213" t="s">
        <v>5104</v>
      </c>
      <c r="S127" s="213">
        <f>S126-11</f>
        <v>47</v>
      </c>
      <c r="T127" s="213" t="s">
        <v>5105</v>
      </c>
      <c r="U127" s="213">
        <v>228</v>
      </c>
      <c r="V127" s="99">
        <f>U127*(1+$R$84+$Q$15*S127/36500)</f>
        <v>239.68609315068497</v>
      </c>
      <c r="W127" s="32">
        <f t="shared" si="25"/>
        <v>244.47981501369867</v>
      </c>
      <c r="X127" s="32">
        <f t="shared" si="26"/>
        <v>249.27353687671237</v>
      </c>
      <c r="AH127" s="149">
        <v>107</v>
      </c>
      <c r="AI127" s="188" t="s">
        <v>4624</v>
      </c>
      <c r="AJ127" s="188">
        <v>-48200</v>
      </c>
      <c r="AK127" s="149">
        <v>0</v>
      </c>
      <c r="AL127" s="149">
        <f t="shared" ref="AL127:AL177" si="31">AL128+AK127</f>
        <v>213</v>
      </c>
      <c r="AM127" s="188">
        <f t="shared" si="30"/>
        <v>-10266600</v>
      </c>
      <c r="AN127" s="149" t="s">
        <v>4633</v>
      </c>
    </row>
    <row r="128" spans="6:46">
      <c r="G128" s="99"/>
      <c r="H128" s="99"/>
      <c r="I128" s="99"/>
      <c r="J128" s="99" t="s">
        <v>25</v>
      </c>
      <c r="Q128" s="169">
        <v>5897690</v>
      </c>
      <c r="R128" s="213" t="s">
        <v>5114</v>
      </c>
      <c r="S128" s="213">
        <f>S127-10</f>
        <v>37</v>
      </c>
      <c r="T128" s="213" t="s">
        <v>5117</v>
      </c>
      <c r="U128" s="213">
        <v>236</v>
      </c>
      <c r="V128" s="99">
        <f>U128*(1+$R$84+$Q$15*S128/36500)</f>
        <v>246.28572054794526</v>
      </c>
      <c r="W128" s="32">
        <f t="shared" si="25"/>
        <v>251.21143495890416</v>
      </c>
      <c r="X128" s="32">
        <f t="shared" si="26"/>
        <v>256.1371493698631</v>
      </c>
      <c r="AH128" s="89">
        <v>108</v>
      </c>
      <c r="AI128" s="90" t="s">
        <v>4624</v>
      </c>
      <c r="AJ128" s="90">
        <v>39327293</v>
      </c>
      <c r="AK128" s="89">
        <v>4</v>
      </c>
      <c r="AL128" s="149">
        <f t="shared" si="31"/>
        <v>213</v>
      </c>
      <c r="AM128" s="188">
        <f t="shared" si="30"/>
        <v>8376713409</v>
      </c>
      <c r="AN128" s="89" t="s">
        <v>4634</v>
      </c>
    </row>
    <row r="129" spans="6:43">
      <c r="G129" s="99"/>
      <c r="H129" s="99"/>
      <c r="I129" s="95">
        <f>J129-J126</f>
        <v>2413239.4000000004</v>
      </c>
      <c r="J129" s="1">
        <f>SUM(J127:J128)</f>
        <v>8732382.4000000004</v>
      </c>
      <c r="Q129" s="169">
        <v>1203628</v>
      </c>
      <c r="R129" s="213" t="s">
        <v>5121</v>
      </c>
      <c r="S129" s="213">
        <f>S128-2</f>
        <v>35</v>
      </c>
      <c r="T129" s="213" t="s">
        <v>5122</v>
      </c>
      <c r="U129" s="213">
        <v>235.1</v>
      </c>
      <c r="V129" s="99">
        <f>U129*(1+$R$84+$Q$15*S129/36500)</f>
        <v>244.98579397260278</v>
      </c>
      <c r="W129" s="32">
        <f t="shared" ref="W129:W137" si="32">V129*(1+$W$19/100)</f>
        <v>249.88550985205484</v>
      </c>
      <c r="X129" s="32">
        <f t="shared" ref="X129:X137" si="33">V129*(1+$X$19/100)</f>
        <v>254.7852257315069</v>
      </c>
      <c r="Y129" t="s">
        <v>25</v>
      </c>
      <c r="AH129" s="89">
        <v>109</v>
      </c>
      <c r="AI129" s="90" t="s">
        <v>4648</v>
      </c>
      <c r="AJ129" s="90">
        <v>8749050</v>
      </c>
      <c r="AK129" s="89">
        <v>1</v>
      </c>
      <c r="AL129" s="89">
        <f t="shared" si="31"/>
        <v>209</v>
      </c>
      <c r="AM129" s="90">
        <f t="shared" si="30"/>
        <v>1828551450</v>
      </c>
      <c r="AN129" s="89" t="s">
        <v>4649</v>
      </c>
    </row>
    <row r="130" spans="6:43">
      <c r="G130" s="99"/>
      <c r="H130" s="99"/>
      <c r="I130" s="99" t="s">
        <v>916</v>
      </c>
      <c r="J130" s="99" t="s">
        <v>6</v>
      </c>
      <c r="Q130" s="169">
        <v>2598983</v>
      </c>
      <c r="R130" s="213" t="s">
        <v>5119</v>
      </c>
      <c r="S130" s="213">
        <f>S129-2</f>
        <v>33</v>
      </c>
      <c r="T130" s="213" t="s">
        <v>5128</v>
      </c>
      <c r="U130" s="213">
        <v>233.2</v>
      </c>
      <c r="V130" s="99">
        <f>U130*(1+$R$84+$Q$15*S130/36500)</f>
        <v>242.64811397260274</v>
      </c>
      <c r="W130" s="32">
        <f t="shared" si="32"/>
        <v>247.50107625205482</v>
      </c>
      <c r="X130" s="32">
        <f t="shared" si="33"/>
        <v>252.35403853150686</v>
      </c>
      <c r="Z130" t="s">
        <v>25</v>
      </c>
      <c r="AH130" s="99">
        <v>110</v>
      </c>
      <c r="AI130" s="113" t="s">
        <v>4651</v>
      </c>
      <c r="AJ130" s="113">
        <v>60000</v>
      </c>
      <c r="AK130" s="99">
        <v>1</v>
      </c>
      <c r="AL130" s="99">
        <f t="shared" si="31"/>
        <v>208</v>
      </c>
      <c r="AM130" s="117">
        <f t="shared" si="30"/>
        <v>12480000</v>
      </c>
      <c r="AN130" s="99" t="s">
        <v>4652</v>
      </c>
    </row>
    <row r="131" spans="6:43">
      <c r="Q131" s="169">
        <v>8061801</v>
      </c>
      <c r="R131" s="213" t="s">
        <v>5120</v>
      </c>
      <c r="S131" s="213">
        <f>S130-6</f>
        <v>27</v>
      </c>
      <c r="T131" s="213" t="s">
        <v>5132</v>
      </c>
      <c r="U131" s="213">
        <v>240.4</v>
      </c>
      <c r="V131" s="99">
        <f>U131*(1+$R$84+$Q$15*S131/36500)</f>
        <v>249.0333238356165</v>
      </c>
      <c r="W131" s="32">
        <f t="shared" si="32"/>
        <v>254.01399031232884</v>
      </c>
      <c r="X131" s="32">
        <f t="shared" si="33"/>
        <v>258.99465678904119</v>
      </c>
      <c r="Y131" t="s">
        <v>25</v>
      </c>
      <c r="AH131" s="20">
        <v>111</v>
      </c>
      <c r="AI131" s="117" t="s">
        <v>4660</v>
      </c>
      <c r="AJ131" s="117">
        <v>4750000</v>
      </c>
      <c r="AK131" s="20">
        <v>0</v>
      </c>
      <c r="AL131" s="99">
        <f t="shared" si="31"/>
        <v>207</v>
      </c>
      <c r="AM131" s="117">
        <f t="shared" si="30"/>
        <v>983250000</v>
      </c>
      <c r="AN131" s="20"/>
      <c r="AQ131" t="s">
        <v>25</v>
      </c>
    </row>
    <row r="132" spans="6:43">
      <c r="G132" s="99"/>
      <c r="H132" s="213" t="s">
        <v>5159</v>
      </c>
      <c r="I132" s="99" t="s">
        <v>5093</v>
      </c>
      <c r="J132" s="1">
        <v>19795000</v>
      </c>
      <c r="Q132" s="169">
        <v>48634177</v>
      </c>
      <c r="R132" s="213" t="s">
        <v>5137</v>
      </c>
      <c r="S132" s="213">
        <f>S131-1</f>
        <v>26</v>
      </c>
      <c r="T132" s="213" t="s">
        <v>5139</v>
      </c>
      <c r="U132" s="213">
        <v>241.4</v>
      </c>
      <c r="V132" s="99">
        <f>U132*(1+$R$84+$Q$15*S132/36500)</f>
        <v>249.88405260273976</v>
      </c>
      <c r="W132" s="32">
        <f t="shared" si="32"/>
        <v>254.88173365479454</v>
      </c>
      <c r="X132" s="32">
        <f t="shared" si="33"/>
        <v>259.87941470684933</v>
      </c>
      <c r="Y132" t="s">
        <v>25</v>
      </c>
      <c r="AH132" s="89">
        <v>112</v>
      </c>
      <c r="AI132" s="90" t="s">
        <v>4660</v>
      </c>
      <c r="AJ132" s="90">
        <v>13101160</v>
      </c>
      <c r="AK132" s="89">
        <v>1</v>
      </c>
      <c r="AL132" s="89">
        <f t="shared" si="31"/>
        <v>207</v>
      </c>
      <c r="AM132" s="90">
        <f t="shared" si="30"/>
        <v>2711940120</v>
      </c>
      <c r="AN132" s="89" t="s">
        <v>4663</v>
      </c>
    </row>
    <row r="133" spans="6:43">
      <c r="G133" s="1">
        <f>P48</f>
        <v>257.60000000000002</v>
      </c>
      <c r="H133" s="99" t="s">
        <v>4241</v>
      </c>
      <c r="I133" s="99">
        <v>46582</v>
      </c>
      <c r="J133" s="1">
        <f>G133*I133</f>
        <v>11999523.200000001</v>
      </c>
      <c r="M133">
        <v>236</v>
      </c>
      <c r="N133">
        <v>3</v>
      </c>
      <c r="O133">
        <f>M133*N133</f>
        <v>708</v>
      </c>
      <c r="Q133" s="169">
        <v>15280620</v>
      </c>
      <c r="R133" s="213" t="s">
        <v>5138</v>
      </c>
      <c r="S133" s="213">
        <f>S132-3</f>
        <v>23</v>
      </c>
      <c r="T133" s="213" t="s">
        <v>5141</v>
      </c>
      <c r="U133" s="213">
        <v>237.8</v>
      </c>
      <c r="V133" s="99">
        <f>U133*(1+$R$84+$Q$15*S133/36500)</f>
        <v>245.61026410958908</v>
      </c>
      <c r="W133" s="32">
        <f t="shared" si="32"/>
        <v>250.52246939178087</v>
      </c>
      <c r="X133" s="32">
        <f t="shared" si="33"/>
        <v>255.43467467397267</v>
      </c>
      <c r="AH133" s="20">
        <v>113</v>
      </c>
      <c r="AI133" s="117" t="s">
        <v>4662</v>
      </c>
      <c r="AJ133" s="117">
        <v>-980000</v>
      </c>
      <c r="AK133" s="20">
        <v>0</v>
      </c>
      <c r="AL133" s="99">
        <f t="shared" si="31"/>
        <v>206</v>
      </c>
      <c r="AM133" s="117">
        <f t="shared" si="30"/>
        <v>-201880000</v>
      </c>
      <c r="AN133" s="20"/>
    </row>
    <row r="134" spans="6:43">
      <c r="G134" s="99"/>
      <c r="H134" s="99" t="s">
        <v>338</v>
      </c>
      <c r="I134" s="99"/>
      <c r="J134" s="1">
        <v>10000000</v>
      </c>
      <c r="K134" t="s">
        <v>25</v>
      </c>
      <c r="M134">
        <v>126</v>
      </c>
      <c r="N134">
        <v>1</v>
      </c>
      <c r="O134">
        <f>M134*N134</f>
        <v>126</v>
      </c>
      <c r="Q134" s="169">
        <v>107962</v>
      </c>
      <c r="R134" s="213" t="s">
        <v>5149</v>
      </c>
      <c r="S134" s="213">
        <f>S133-3</f>
        <v>20</v>
      </c>
      <c r="T134" s="213" t="s">
        <v>5150</v>
      </c>
      <c r="U134" s="213">
        <v>707</v>
      </c>
      <c r="V134" s="99">
        <f>U134*(1+$R$84+$Q$15*S134/36500)</f>
        <v>728.59352328767136</v>
      </c>
      <c r="W134" s="32">
        <f t="shared" si="32"/>
        <v>743.16539375342484</v>
      </c>
      <c r="X134" s="32">
        <f t="shared" si="33"/>
        <v>757.7372642191782</v>
      </c>
      <c r="Y134" t="s">
        <v>25</v>
      </c>
      <c r="AH134" s="89">
        <v>114</v>
      </c>
      <c r="AI134" s="90" t="s">
        <v>4662</v>
      </c>
      <c r="AJ134" s="90">
        <v>13301790</v>
      </c>
      <c r="AK134" s="89">
        <v>0</v>
      </c>
      <c r="AL134" s="89">
        <f t="shared" si="31"/>
        <v>206</v>
      </c>
      <c r="AM134" s="90">
        <f t="shared" si="30"/>
        <v>2740168740</v>
      </c>
      <c r="AN134" s="89" t="s">
        <v>4663</v>
      </c>
      <c r="AQ134" t="s">
        <v>25</v>
      </c>
    </row>
    <row r="135" spans="6:43">
      <c r="G135" s="99"/>
      <c r="H135" s="99"/>
      <c r="I135" s="1">
        <f>J135-J132</f>
        <v>2204523.200000003</v>
      </c>
      <c r="J135" s="1">
        <f>SUM(J133:J134)</f>
        <v>21999523.200000003</v>
      </c>
      <c r="L135">
        <v>821</v>
      </c>
      <c r="M135">
        <v>590</v>
      </c>
      <c r="N135">
        <v>0</v>
      </c>
      <c r="O135" s="96">
        <f>M135*N135</f>
        <v>0</v>
      </c>
      <c r="Q135" s="169">
        <v>119160</v>
      </c>
      <c r="R135" s="213" t="s">
        <v>5166</v>
      </c>
      <c r="S135" s="213">
        <f>S134-5</f>
        <v>15</v>
      </c>
      <c r="T135" s="213" t="s">
        <v>5168</v>
      </c>
      <c r="U135" s="213">
        <v>4090</v>
      </c>
      <c r="V135" s="99">
        <f>U135*(1+$R$84+$Q$15*S135/36500)</f>
        <v>4199.2310136986307</v>
      </c>
      <c r="W135" s="32">
        <f t="shared" si="32"/>
        <v>4283.2156339726034</v>
      </c>
      <c r="X135" s="32">
        <f t="shared" si="33"/>
        <v>4367.2002542465762</v>
      </c>
      <c r="AH135" s="20">
        <v>115</v>
      </c>
      <c r="AI135" s="117" t="s">
        <v>4662</v>
      </c>
      <c r="AJ135" s="117">
        <v>404000</v>
      </c>
      <c r="AK135" s="20">
        <v>5</v>
      </c>
      <c r="AL135" s="99">
        <f t="shared" si="31"/>
        <v>206</v>
      </c>
      <c r="AM135" s="117">
        <f t="shared" si="30"/>
        <v>83224000</v>
      </c>
      <c r="AN135" s="20" t="s">
        <v>4670</v>
      </c>
    </row>
    <row r="136" spans="6:43">
      <c r="G136" s="99"/>
      <c r="H136" s="99"/>
      <c r="I136" s="99" t="s">
        <v>916</v>
      </c>
      <c r="J136" s="99" t="s">
        <v>6</v>
      </c>
      <c r="Q136" s="169">
        <v>98735</v>
      </c>
      <c r="R136" s="213" t="s">
        <v>5192</v>
      </c>
      <c r="S136" s="213">
        <f>S135-15</f>
        <v>0</v>
      </c>
      <c r="T136" s="213" t="s">
        <v>5196</v>
      </c>
      <c r="U136" s="213">
        <v>840</v>
      </c>
      <c r="V136" s="99">
        <f>U136*(1+$R$84+$Q$15*S136/36500)</f>
        <v>852.76800000000003</v>
      </c>
      <c r="W136" s="32">
        <f t="shared" si="32"/>
        <v>869.82336000000009</v>
      </c>
      <c r="X136" s="32">
        <f t="shared" si="33"/>
        <v>886.87872000000004</v>
      </c>
      <c r="Y136" t="s">
        <v>25</v>
      </c>
      <c r="AH136" s="89">
        <v>116</v>
      </c>
      <c r="AI136" s="90" t="s">
        <v>4685</v>
      </c>
      <c r="AJ136" s="90">
        <v>4291628</v>
      </c>
      <c r="AK136" s="89">
        <v>2</v>
      </c>
      <c r="AL136" s="89">
        <f t="shared" si="31"/>
        <v>201</v>
      </c>
      <c r="AM136" s="90">
        <f t="shared" si="30"/>
        <v>862617228</v>
      </c>
      <c r="AN136" s="89" t="s">
        <v>4686</v>
      </c>
    </row>
    <row r="137" spans="6:43">
      <c r="O137">
        <f>O133+O134+O135</f>
        <v>834</v>
      </c>
      <c r="Q137" s="169">
        <v>111383</v>
      </c>
      <c r="R137" s="213" t="s">
        <v>5212</v>
      </c>
      <c r="S137" s="213">
        <f>S136-7</f>
        <v>-7</v>
      </c>
      <c r="T137" s="213" t="s">
        <v>5213</v>
      </c>
      <c r="U137" s="213">
        <v>6160</v>
      </c>
      <c r="V137" s="99">
        <f>U137*(1+$R$84+$Q$15*S137/36500)</f>
        <v>6220.5536438356166</v>
      </c>
      <c r="W137" s="32">
        <f t="shared" si="32"/>
        <v>6344.9647167123294</v>
      </c>
      <c r="X137" s="32">
        <f t="shared" si="33"/>
        <v>6469.3757895890412</v>
      </c>
      <c r="Z137" t="s">
        <v>25</v>
      </c>
      <c r="AH137" s="20">
        <v>117</v>
      </c>
      <c r="AI137" s="117" t="s">
        <v>4688</v>
      </c>
      <c r="AJ137" s="117">
        <v>1000</v>
      </c>
      <c r="AK137" s="20">
        <v>5</v>
      </c>
      <c r="AL137" s="20">
        <f t="shared" si="31"/>
        <v>199</v>
      </c>
      <c r="AM137" s="117">
        <f t="shared" si="30"/>
        <v>199000</v>
      </c>
      <c r="AN137" s="20"/>
    </row>
    <row r="138" spans="6:43">
      <c r="Q138" s="169"/>
      <c r="R138" s="168"/>
      <c r="S138" s="168"/>
      <c r="T138" s="168"/>
      <c r="U138" s="168"/>
      <c r="V138" s="99">
        <f>U138*(1+$R$84+$Q$15*S138/36500)</f>
        <v>0</v>
      </c>
      <c r="W138" s="32">
        <f t="shared" si="25"/>
        <v>0</v>
      </c>
      <c r="X138" s="32">
        <f t="shared" si="26"/>
        <v>0</v>
      </c>
      <c r="Y138" t="s">
        <v>25</v>
      </c>
      <c r="AH138" s="121">
        <v>118</v>
      </c>
      <c r="AI138" s="79" t="s">
        <v>4696</v>
      </c>
      <c r="AJ138" s="79">
        <v>8739459</v>
      </c>
      <c r="AK138" s="121">
        <v>2</v>
      </c>
      <c r="AL138" s="121">
        <f t="shared" si="31"/>
        <v>194</v>
      </c>
      <c r="AM138" s="79">
        <f t="shared" si="30"/>
        <v>1695455046</v>
      </c>
      <c r="AN138" s="121" t="s">
        <v>4649</v>
      </c>
    </row>
    <row r="139" spans="6:43">
      <c r="Q139" s="113">
        <f>SUM(N43:N49)-SUM(Q88:Q138)</f>
        <v>199484782.00000012</v>
      </c>
      <c r="R139" s="112"/>
      <c r="S139" s="112"/>
      <c r="T139" s="112"/>
      <c r="U139" s="168"/>
      <c r="V139" s="99" t="s">
        <v>25</v>
      </c>
      <c r="W139" s="32"/>
      <c r="X139" s="32"/>
      <c r="AH139" s="121">
        <v>119</v>
      </c>
      <c r="AI139" s="79" t="s">
        <v>4697</v>
      </c>
      <c r="AJ139" s="79">
        <v>17595278</v>
      </c>
      <c r="AK139" s="121">
        <v>1</v>
      </c>
      <c r="AL139" s="121">
        <f t="shared" si="31"/>
        <v>192</v>
      </c>
      <c r="AM139" s="79">
        <f t="shared" si="30"/>
        <v>3378293376</v>
      </c>
      <c r="AN139" s="121" t="s">
        <v>4699</v>
      </c>
      <c r="AQ139" t="s">
        <v>25</v>
      </c>
    </row>
    <row r="140" spans="6:43">
      <c r="Q140" s="26"/>
      <c r="R140" s="181"/>
      <c r="S140" s="181"/>
      <c r="T140" t="s">
        <v>25</v>
      </c>
      <c r="U140" s="96" t="s">
        <v>25</v>
      </c>
      <c r="V140" s="96" t="s">
        <v>25</v>
      </c>
      <c r="W140" s="96" t="s">
        <v>25</v>
      </c>
      <c r="Z140" t="s">
        <v>25</v>
      </c>
      <c r="AH140" s="121">
        <v>120</v>
      </c>
      <c r="AI140" s="79" t="s">
        <v>4698</v>
      </c>
      <c r="AJ140" s="79">
        <v>13335309</v>
      </c>
      <c r="AK140" s="121">
        <v>13</v>
      </c>
      <c r="AL140" s="121">
        <f t="shared" si="31"/>
        <v>191</v>
      </c>
      <c r="AM140" s="79">
        <f t="shared" si="30"/>
        <v>2547044019</v>
      </c>
      <c r="AN140" s="121" t="s">
        <v>4663</v>
      </c>
    </row>
    <row r="141" spans="6:43">
      <c r="R141" s="32" t="s">
        <v>4566</v>
      </c>
      <c r="S141" s="32" t="s">
        <v>949</v>
      </c>
      <c r="T141" t="s">
        <v>25</v>
      </c>
      <c r="U141" s="96" t="s">
        <v>25</v>
      </c>
      <c r="V141" s="96" t="s">
        <v>25</v>
      </c>
      <c r="W141" s="96" t="s">
        <v>25</v>
      </c>
      <c r="X141" s="122" t="s">
        <v>25</v>
      </c>
      <c r="Y141" t="s">
        <v>25</v>
      </c>
      <c r="AA141" t="s">
        <v>25</v>
      </c>
      <c r="AH141" s="161">
        <v>121</v>
      </c>
      <c r="AI141" s="228" t="s">
        <v>4753</v>
      </c>
      <c r="AJ141" s="228">
        <v>50000000</v>
      </c>
      <c r="AK141" s="161">
        <v>11</v>
      </c>
      <c r="AL141" s="161">
        <f t="shared" si="31"/>
        <v>178</v>
      </c>
      <c r="AM141" s="228">
        <f t="shared" si="30"/>
        <v>8900000000</v>
      </c>
      <c r="AN141" s="161" t="s">
        <v>4755</v>
      </c>
      <c r="AP141" t="s">
        <v>25</v>
      </c>
    </row>
    <row r="142" spans="6:43">
      <c r="P142" s="114" t="s">
        <v>25</v>
      </c>
      <c r="R142" s="32">
        <v>174863</v>
      </c>
      <c r="S142" s="234">
        <v>39362756</v>
      </c>
      <c r="U142" s="96" t="s">
        <v>25</v>
      </c>
      <c r="V142" s="122" t="s">
        <v>25</v>
      </c>
      <c r="W142" s="96" t="s">
        <v>25</v>
      </c>
      <c r="X142" t="s">
        <v>25</v>
      </c>
      <c r="Y142" t="s">
        <v>25</v>
      </c>
      <c r="AH142" s="20">
        <v>122</v>
      </c>
      <c r="AI142" s="117" t="s">
        <v>973</v>
      </c>
      <c r="AJ142" s="117">
        <v>30000</v>
      </c>
      <c r="AK142" s="20">
        <v>3</v>
      </c>
      <c r="AL142" s="20">
        <f t="shared" si="31"/>
        <v>167</v>
      </c>
      <c r="AM142" s="117">
        <f t="shared" si="30"/>
        <v>5010000</v>
      </c>
      <c r="AN142" s="20"/>
    </row>
    <row r="143" spans="6:43">
      <c r="Q143" t="s">
        <v>25</v>
      </c>
      <c r="R143" s="32">
        <v>2719</v>
      </c>
      <c r="S143" s="1">
        <f>S142*R143/R142</f>
        <v>612063.92183595162</v>
      </c>
      <c r="U143" s="96" t="s">
        <v>25</v>
      </c>
      <c r="V143" s="122" t="s">
        <v>25</v>
      </c>
      <c r="W143" s="96" t="s">
        <v>25</v>
      </c>
      <c r="X143" t="s">
        <v>25</v>
      </c>
      <c r="Y143" t="s">
        <v>25</v>
      </c>
      <c r="AH143" s="20">
        <v>123</v>
      </c>
      <c r="AI143" s="117" t="s">
        <v>4817</v>
      </c>
      <c r="AJ143" s="117">
        <v>600000</v>
      </c>
      <c r="AK143" s="20">
        <v>1</v>
      </c>
      <c r="AL143" s="20">
        <f t="shared" si="31"/>
        <v>164</v>
      </c>
      <c r="AM143" s="117">
        <f t="shared" si="30"/>
        <v>98400000</v>
      </c>
      <c r="AN143" s="20"/>
    </row>
    <row r="144" spans="6:43">
      <c r="F144" t="s">
        <v>4820</v>
      </c>
      <c r="R144" s="32">
        <f>R142-R143</f>
        <v>172144</v>
      </c>
      <c r="S144" s="1">
        <f>R144*S142/R142</f>
        <v>38750692.078164048</v>
      </c>
      <c r="T144" t="s">
        <v>25</v>
      </c>
      <c r="U144" s="122" t="s">
        <v>25</v>
      </c>
      <c r="V144" s="96"/>
      <c r="W144"/>
      <c r="X144" t="s">
        <v>25</v>
      </c>
      <c r="Y144" t="s">
        <v>25</v>
      </c>
      <c r="AH144" s="20">
        <v>124</v>
      </c>
      <c r="AI144" s="117" t="s">
        <v>4824</v>
      </c>
      <c r="AJ144" s="117">
        <v>30000</v>
      </c>
      <c r="AK144" s="20">
        <v>3</v>
      </c>
      <c r="AL144" s="20">
        <f t="shared" si="31"/>
        <v>163</v>
      </c>
      <c r="AM144" s="117">
        <f t="shared" si="30"/>
        <v>4890000</v>
      </c>
      <c r="AN144" s="20"/>
    </row>
    <row r="145" spans="7:44">
      <c r="G145">
        <v>1200</v>
      </c>
      <c r="H145" t="s">
        <v>4821</v>
      </c>
      <c r="V145" s="96"/>
      <c r="W145"/>
      <c r="X145" t="s">
        <v>25</v>
      </c>
      <c r="Y145" s="122" t="s">
        <v>25</v>
      </c>
      <c r="AH145" s="20">
        <v>125</v>
      </c>
      <c r="AI145" s="117" t="s">
        <v>4831</v>
      </c>
      <c r="AJ145" s="117">
        <v>2250000</v>
      </c>
      <c r="AK145" s="20">
        <v>1</v>
      </c>
      <c r="AL145" s="20">
        <f t="shared" si="31"/>
        <v>160</v>
      </c>
      <c r="AM145" s="117">
        <f t="shared" ref="AM145:AM147" si="34">AJ145*AL145</f>
        <v>360000000</v>
      </c>
      <c r="AN145" s="20"/>
      <c r="AR145" t="s">
        <v>25</v>
      </c>
    </row>
    <row r="146" spans="7:44">
      <c r="G146">
        <v>1350</v>
      </c>
      <c r="H146" t="s">
        <v>4822</v>
      </c>
      <c r="Q146" s="99" t="s">
        <v>4456</v>
      </c>
      <c r="R146" s="99" t="s">
        <v>4458</v>
      </c>
      <c r="S146" s="99"/>
      <c r="T146" s="99" t="s">
        <v>4459</v>
      </c>
      <c r="U146" s="99"/>
      <c r="V146" s="99"/>
      <c r="W146" s="99" t="s">
        <v>4569</v>
      </c>
      <c r="AH146" s="23">
        <v>126</v>
      </c>
      <c r="AI146" s="35" t="s">
        <v>4836</v>
      </c>
      <c r="AJ146" s="35">
        <v>-31412200</v>
      </c>
      <c r="AK146" s="23">
        <v>1</v>
      </c>
      <c r="AL146" s="20">
        <f t="shared" si="31"/>
        <v>159</v>
      </c>
      <c r="AM146" s="35">
        <f t="shared" si="34"/>
        <v>-4994539800</v>
      </c>
      <c r="AN146" s="23" t="s">
        <v>4819</v>
      </c>
    </row>
    <row r="147" spans="7:44">
      <c r="G147">
        <v>1050</v>
      </c>
      <c r="H147" t="s">
        <v>4823</v>
      </c>
      <c r="Q147" s="113">
        <v>1000</v>
      </c>
      <c r="R147" s="99">
        <v>0.25</v>
      </c>
      <c r="S147" s="99"/>
      <c r="T147" s="99">
        <f>1-R147</f>
        <v>0.75</v>
      </c>
      <c r="U147" s="99"/>
      <c r="V147" s="99"/>
      <c r="W147" s="99"/>
      <c r="Z147" s="96"/>
      <c r="AH147" s="20">
        <v>127</v>
      </c>
      <c r="AI147" s="117" t="s">
        <v>4845</v>
      </c>
      <c r="AJ147" s="117">
        <v>70000</v>
      </c>
      <c r="AK147" s="20">
        <v>9</v>
      </c>
      <c r="AL147" s="20">
        <f t="shared" si="31"/>
        <v>158</v>
      </c>
      <c r="AM147" s="117">
        <f t="shared" si="34"/>
        <v>11060000</v>
      </c>
      <c r="AN147" s="20"/>
    </row>
    <row r="148" spans="7:44">
      <c r="Q148" s="168" t="s">
        <v>4443</v>
      </c>
      <c r="R148" s="168" t="s">
        <v>4461</v>
      </c>
      <c r="S148" s="168" t="s">
        <v>4463</v>
      </c>
      <c r="T148" s="168"/>
      <c r="U148" s="168" t="s">
        <v>4457</v>
      </c>
      <c r="V148" s="56" t="s">
        <v>4460</v>
      </c>
      <c r="W148" s="99"/>
      <c r="X148" s="115"/>
      <c r="Z148" s="96"/>
      <c r="AH148" s="99">
        <v>128</v>
      </c>
      <c r="AI148" s="113" t="s">
        <v>4852</v>
      </c>
      <c r="AJ148" s="113">
        <v>20000</v>
      </c>
      <c r="AK148" s="99">
        <v>10</v>
      </c>
      <c r="AL148" s="20">
        <f t="shared" si="31"/>
        <v>149</v>
      </c>
      <c r="AM148" s="117">
        <f t="shared" ref="AM148:AM149" si="35">AJ148*AL148</f>
        <v>2980000</v>
      </c>
      <c r="AN148" s="20"/>
      <c r="AP148" t="s">
        <v>25</v>
      </c>
    </row>
    <row r="149" spans="7:44">
      <c r="Q149" s="168" t="s">
        <v>751</v>
      </c>
      <c r="R149" s="56">
        <v>1750046</v>
      </c>
      <c r="S149" s="113">
        <f>R149*$T$266</f>
        <v>725548008.78494895</v>
      </c>
      <c r="T149" s="168"/>
      <c r="U149" s="168">
        <f>$Q$147*$T$147*S149/$R$176</f>
        <v>367.76468274160032</v>
      </c>
      <c r="V149" s="95">
        <f>S149+U149</f>
        <v>725548376.54963171</v>
      </c>
      <c r="W149" s="99">
        <f>R149*100/U263</f>
        <v>49.035291032213379</v>
      </c>
      <c r="X149" s="217"/>
      <c r="Z149" s="96"/>
      <c r="AH149" s="99">
        <v>129</v>
      </c>
      <c r="AI149" s="113" t="s">
        <v>4872</v>
      </c>
      <c r="AJ149" s="113">
        <v>1000000</v>
      </c>
      <c r="AK149" s="99">
        <v>1</v>
      </c>
      <c r="AL149" s="20">
        <f t="shared" si="31"/>
        <v>139</v>
      </c>
      <c r="AM149" s="117">
        <f t="shared" si="35"/>
        <v>139000000</v>
      </c>
      <c r="AN149" s="20"/>
    </row>
    <row r="150" spans="7:44">
      <c r="Q150" s="168" t="s">
        <v>4445</v>
      </c>
      <c r="R150" s="56">
        <v>1569112</v>
      </c>
      <c r="S150" s="113">
        <f>R150*$T$266</f>
        <v>650534950.0302099</v>
      </c>
      <c r="T150" s="168"/>
      <c r="U150" s="213">
        <f>$Q$147*$T$147*S150/$R$176</f>
        <v>329.74217641481306</v>
      </c>
      <c r="V150" s="95">
        <f t="shared" ref="V150:V151" si="36">S150+U150</f>
        <v>650535279.77238631</v>
      </c>
      <c r="W150" s="99">
        <f>R150*100/U263</f>
        <v>43.965623521975076</v>
      </c>
      <c r="X150" s="115"/>
      <c r="Y150" t="s">
        <v>25</v>
      </c>
      <c r="Z150" s="96"/>
      <c r="AA150" s="114"/>
      <c r="AC150" s="114"/>
      <c r="AD150" s="114"/>
      <c r="AH150" s="99">
        <v>130</v>
      </c>
      <c r="AI150" s="113" t="s">
        <v>4873</v>
      </c>
      <c r="AJ150" s="113">
        <v>65630227</v>
      </c>
      <c r="AK150" s="99">
        <v>0</v>
      </c>
      <c r="AL150" s="20">
        <f t="shared" si="31"/>
        <v>138</v>
      </c>
      <c r="AM150" s="117">
        <f t="shared" ref="AM150:AM177" si="37">AJ150*AL150</f>
        <v>9056971326</v>
      </c>
      <c r="AN150" s="20" t="s">
        <v>4877</v>
      </c>
      <c r="AP150" t="s">
        <v>25</v>
      </c>
      <c r="AR150" t="s">
        <v>25</v>
      </c>
    </row>
    <row r="151" spans="7:44">
      <c r="Q151" s="168" t="s">
        <v>4444</v>
      </c>
      <c r="R151" s="56">
        <v>52617</v>
      </c>
      <c r="S151" s="113">
        <f>R151*$T$266</f>
        <v>21814374.923994943</v>
      </c>
      <c r="T151" s="168"/>
      <c r="U151" s="213">
        <f>$Q$147*$T$147*S151/$R$176</f>
        <v>11.057237530793353</v>
      </c>
      <c r="V151" s="95">
        <f t="shared" si="36"/>
        <v>21814385.981232475</v>
      </c>
      <c r="W151" s="99">
        <f>R151*100/U263</f>
        <v>1.4742983374391139</v>
      </c>
      <c r="X151" s="115"/>
      <c r="Z151" s="96"/>
      <c r="AA151" s="114"/>
      <c r="AC151" s="114"/>
      <c r="AH151" s="99">
        <v>131</v>
      </c>
      <c r="AI151" s="113" t="s">
        <v>4873</v>
      </c>
      <c r="AJ151" s="113">
        <v>-3500000</v>
      </c>
      <c r="AK151" s="99">
        <v>6</v>
      </c>
      <c r="AL151" s="20">
        <f t="shared" si="31"/>
        <v>138</v>
      </c>
      <c r="AM151" s="117">
        <f t="shared" si="37"/>
        <v>-483000000</v>
      </c>
      <c r="AN151" s="20" t="s">
        <v>4876</v>
      </c>
    </row>
    <row r="152" spans="7:44">
      <c r="Q152" s="168" t="s">
        <v>1086</v>
      </c>
      <c r="R152" s="56">
        <v>197177</v>
      </c>
      <c r="S152" s="113">
        <f>R152*$T$266</f>
        <v>81747211.060846329</v>
      </c>
      <c r="T152" s="168"/>
      <c r="U152" s="213">
        <f>$Q$147*$T$147*S152/$R$176</f>
        <v>41.435903312793222</v>
      </c>
      <c r="V152" s="95">
        <f>S152+U152</f>
        <v>81747252.49674964</v>
      </c>
      <c r="W152" s="99">
        <f>R152*100/U263</f>
        <v>5.52478710837243</v>
      </c>
      <c r="X152" s="115"/>
      <c r="Y152" t="s">
        <v>25</v>
      </c>
      <c r="Z152" s="96"/>
      <c r="AA152" s="114"/>
      <c r="AC152" s="114"/>
      <c r="AD152" s="114"/>
      <c r="AH152" s="99">
        <v>132</v>
      </c>
      <c r="AI152" s="113" t="s">
        <v>4887</v>
      </c>
      <c r="AJ152" s="113">
        <v>2520000</v>
      </c>
      <c r="AK152" s="99">
        <v>12</v>
      </c>
      <c r="AL152" s="20">
        <f t="shared" si="31"/>
        <v>132</v>
      </c>
      <c r="AM152" s="117">
        <f t="shared" si="37"/>
        <v>332640000</v>
      </c>
      <c r="AN152" s="20"/>
    </row>
    <row r="153" spans="7:44">
      <c r="Q153" s="168"/>
      <c r="R153" s="56"/>
      <c r="S153" s="168"/>
      <c r="T153" s="168"/>
      <c r="U153" s="168"/>
      <c r="V153" s="168"/>
      <c r="W153" s="99"/>
      <c r="X153" s="96"/>
      <c r="Y153" s="96"/>
      <c r="Z153" s="96"/>
      <c r="AH153" s="99">
        <v>133</v>
      </c>
      <c r="AI153" s="113" t="s">
        <v>4922</v>
      </c>
      <c r="AJ153" s="113">
        <v>1400000</v>
      </c>
      <c r="AK153" s="99">
        <v>4</v>
      </c>
      <c r="AL153" s="20">
        <f t="shared" si="31"/>
        <v>120</v>
      </c>
      <c r="AM153" s="117">
        <f t="shared" si="37"/>
        <v>168000000</v>
      </c>
      <c r="AN153" s="20"/>
    </row>
    <row r="154" spans="7:44">
      <c r="P154">
        <f>R150+11</f>
        <v>1569123</v>
      </c>
      <c r="Q154" s="168"/>
      <c r="R154" s="168"/>
      <c r="S154" s="168"/>
      <c r="T154" s="168"/>
      <c r="U154" s="168"/>
      <c r="V154" s="168"/>
      <c r="W154" s="99"/>
      <c r="X154" s="96"/>
      <c r="Y154" s="96"/>
      <c r="Z154" s="96"/>
      <c r="AH154" s="99">
        <v>134</v>
      </c>
      <c r="AI154" s="113" t="s">
        <v>4947</v>
      </c>
      <c r="AJ154" s="113">
        <v>1550000</v>
      </c>
      <c r="AK154" s="99">
        <v>2</v>
      </c>
      <c r="AL154" s="20">
        <f t="shared" si="31"/>
        <v>116</v>
      </c>
      <c r="AM154" s="117">
        <f t="shared" si="37"/>
        <v>179800000</v>
      </c>
      <c r="AN154" s="20"/>
    </row>
    <row r="155" spans="7:44">
      <c r="P155" s="114"/>
      <c r="Q155" s="99"/>
      <c r="R155" s="99"/>
      <c r="S155" s="99"/>
      <c r="T155" s="99" t="s">
        <v>25</v>
      </c>
      <c r="U155" s="99"/>
      <c r="V155" s="99"/>
      <c r="W155" s="99"/>
      <c r="X155" s="96"/>
      <c r="Y155" s="96"/>
      <c r="Z155" s="96"/>
      <c r="AH155" s="99">
        <v>135</v>
      </c>
      <c r="AI155" s="113" t="s">
        <v>4894</v>
      </c>
      <c r="AJ155" s="113">
        <v>250000</v>
      </c>
      <c r="AK155" s="99">
        <v>6</v>
      </c>
      <c r="AL155" s="20">
        <f t="shared" si="31"/>
        <v>114</v>
      </c>
      <c r="AM155" s="117">
        <f t="shared" si="37"/>
        <v>28500000</v>
      </c>
      <c r="AN155" s="20"/>
    </row>
    <row r="156" spans="7:44">
      <c r="P156" s="114"/>
      <c r="Q156" s="99"/>
      <c r="R156" s="99"/>
      <c r="S156" s="99"/>
      <c r="T156" s="99"/>
      <c r="U156" s="99"/>
      <c r="V156" s="99"/>
      <c r="W156" s="99"/>
      <c r="X156" s="96"/>
      <c r="Y156" s="122" t="s">
        <v>25</v>
      </c>
      <c r="Z156" s="96"/>
      <c r="AH156" s="99">
        <v>136</v>
      </c>
      <c r="AI156" s="113" t="s">
        <v>4957</v>
      </c>
      <c r="AJ156" s="113">
        <v>-48527480</v>
      </c>
      <c r="AK156" s="99">
        <v>14</v>
      </c>
      <c r="AL156" s="20">
        <f t="shared" si="31"/>
        <v>108</v>
      </c>
      <c r="AM156" s="117">
        <f t="shared" si="37"/>
        <v>-5240967840</v>
      </c>
      <c r="AN156" s="20" t="s">
        <v>4959</v>
      </c>
    </row>
    <row r="157" spans="7:44">
      <c r="P157" s="114"/>
      <c r="Q157" s="99"/>
      <c r="R157" s="99"/>
      <c r="S157" s="99"/>
      <c r="T157" s="99"/>
      <c r="U157" s="99"/>
      <c r="V157" s="99"/>
      <c r="W157" s="99"/>
      <c r="X157" s="96"/>
      <c r="Y157" s="96"/>
      <c r="Z157" s="96"/>
      <c r="AH157" s="99">
        <v>137</v>
      </c>
      <c r="AI157" s="113" t="s">
        <v>4984</v>
      </c>
      <c r="AJ157" s="113">
        <v>2100000</v>
      </c>
      <c r="AK157" s="99">
        <v>1</v>
      </c>
      <c r="AL157" s="20">
        <f t="shared" si="31"/>
        <v>94</v>
      </c>
      <c r="AM157" s="117">
        <f t="shared" si="37"/>
        <v>197400000</v>
      </c>
      <c r="AN157" s="20"/>
    </row>
    <row r="158" spans="7:44">
      <c r="Q158" s="96"/>
      <c r="R158" s="96"/>
      <c r="S158" s="96"/>
      <c r="T158" s="96"/>
      <c r="V158" s="96"/>
      <c r="X158" s="115"/>
      <c r="Y158" s="96"/>
      <c r="Z158" s="96"/>
      <c r="AH158" s="99">
        <v>138</v>
      </c>
      <c r="AI158" s="113" t="s">
        <v>4989</v>
      </c>
      <c r="AJ158" s="113">
        <v>100000</v>
      </c>
      <c r="AK158" s="99">
        <v>4</v>
      </c>
      <c r="AL158" s="20">
        <f>AL159+AK158</f>
        <v>93</v>
      </c>
      <c r="AM158" s="117">
        <f t="shared" si="37"/>
        <v>9300000</v>
      </c>
      <c r="AN158" s="20"/>
      <c r="AQ158" t="s">
        <v>25</v>
      </c>
    </row>
    <row r="159" spans="7:44">
      <c r="Q159" s="99" t="s">
        <v>5051</v>
      </c>
      <c r="R159" s="95">
        <f>S149-R164</f>
        <v>198553942.98494893</v>
      </c>
      <c r="S159" s="96"/>
      <c r="T159" s="96"/>
      <c r="V159" s="96"/>
      <c r="Y159" s="96"/>
      <c r="Z159" s="96"/>
      <c r="AH159" s="99">
        <v>139</v>
      </c>
      <c r="AI159" s="113" t="s">
        <v>4996</v>
      </c>
      <c r="AJ159" s="113">
        <v>900000</v>
      </c>
      <c r="AK159" s="99">
        <v>0</v>
      </c>
      <c r="AL159" s="20">
        <f t="shared" ref="AL159:AL168" si="38">AL160+AK159</f>
        <v>89</v>
      </c>
      <c r="AM159" s="117">
        <f t="shared" ref="AM159:AM168" si="39">AJ159*AL159</f>
        <v>80100000</v>
      </c>
      <c r="AN159" s="20"/>
      <c r="AP159" t="s">
        <v>25</v>
      </c>
    </row>
    <row r="160" spans="7:44">
      <c r="Q160" s="99" t="s">
        <v>5052</v>
      </c>
      <c r="R160" s="95">
        <f>S152+S151-R165</f>
        <v>12328063.984841272</v>
      </c>
      <c r="S160" s="96"/>
      <c r="T160" s="96" t="s">
        <v>25</v>
      </c>
      <c r="V160" s="96"/>
      <c r="Y160" s="96"/>
      <c r="AH160" s="99">
        <v>140</v>
      </c>
      <c r="AI160" s="113" t="s">
        <v>4996</v>
      </c>
      <c r="AJ160" s="113">
        <v>1100000</v>
      </c>
      <c r="AK160" s="99">
        <v>0</v>
      </c>
      <c r="AL160" s="20">
        <f t="shared" si="38"/>
        <v>89</v>
      </c>
      <c r="AM160" s="117">
        <f t="shared" si="39"/>
        <v>97900000</v>
      </c>
      <c r="AN160" s="20" t="s">
        <v>5015</v>
      </c>
      <c r="AQ160" t="s">
        <v>25</v>
      </c>
    </row>
    <row r="161" spans="15:43">
      <c r="P161" s="114"/>
      <c r="Q161" s="96"/>
      <c r="R161" s="96"/>
      <c r="S161" s="96"/>
      <c r="T161" s="96"/>
      <c r="V161" s="96"/>
      <c r="Y161" s="96"/>
      <c r="AH161" s="99">
        <v>141</v>
      </c>
      <c r="AI161" s="113" t="s">
        <v>4996</v>
      </c>
      <c r="AJ161" s="113">
        <v>115000</v>
      </c>
      <c r="AK161" s="99"/>
      <c r="AL161" s="20">
        <f t="shared" si="38"/>
        <v>89</v>
      </c>
      <c r="AM161" s="117">
        <f t="shared" si="39"/>
        <v>10235000</v>
      </c>
      <c r="AN161" s="20"/>
      <c r="AQ161" t="s">
        <v>25</v>
      </c>
    </row>
    <row r="162" spans="15:43">
      <c r="Q162" s="96"/>
      <c r="R162" s="96"/>
      <c r="S162" s="96"/>
      <c r="T162" s="99" t="s">
        <v>180</v>
      </c>
      <c r="U162" s="99" t="s">
        <v>4479</v>
      </c>
      <c r="V162" s="99" t="s">
        <v>4480</v>
      </c>
      <c r="W162" s="99" t="s">
        <v>4490</v>
      </c>
      <c r="X162" s="99" t="s">
        <v>8</v>
      </c>
      <c r="Y162" s="96"/>
      <c r="AH162" s="99">
        <v>142</v>
      </c>
      <c r="AI162" s="113" t="s">
        <v>5006</v>
      </c>
      <c r="AJ162" s="113">
        <v>-1100000</v>
      </c>
      <c r="AK162" s="99"/>
      <c r="AL162" s="20">
        <f t="shared" si="38"/>
        <v>89</v>
      </c>
      <c r="AM162" s="117">
        <f t="shared" si="39"/>
        <v>-97900000</v>
      </c>
      <c r="AN162" s="20" t="s">
        <v>5016</v>
      </c>
      <c r="AQ162" t="s">
        <v>25</v>
      </c>
    </row>
    <row r="163" spans="15:43">
      <c r="P163" s="114"/>
      <c r="Q163" s="36" t="s">
        <v>4565</v>
      </c>
      <c r="R163" s="95">
        <f>SUM(N43:N49)</f>
        <v>859376814.00000012</v>
      </c>
      <c r="T163" s="113" t="s">
        <v>4455</v>
      </c>
      <c r="U163" s="56">
        <v>1000000</v>
      </c>
      <c r="V163" s="113">
        <v>239.024</v>
      </c>
      <c r="W163" s="113">
        <f t="shared" ref="W163:W260" si="40">U163*V163</f>
        <v>239024000</v>
      </c>
      <c r="X163" s="99"/>
      <c r="Y163" s="96"/>
      <c r="AH163" s="99">
        <v>143</v>
      </c>
      <c r="AI163" s="113" t="s">
        <v>5006</v>
      </c>
      <c r="AJ163" s="113">
        <v>900000</v>
      </c>
      <c r="AK163" s="99">
        <v>1</v>
      </c>
      <c r="AL163" s="20">
        <f t="shared" si="38"/>
        <v>89</v>
      </c>
      <c r="AM163" s="117">
        <f t="shared" si="39"/>
        <v>80100000</v>
      </c>
      <c r="AN163" s="20" t="s">
        <v>5015</v>
      </c>
    </row>
    <row r="164" spans="15:43">
      <c r="O164" s="96"/>
      <c r="Q164" s="99" t="s">
        <v>4446</v>
      </c>
      <c r="R164" s="95">
        <f>SUM(N21:N25)</f>
        <v>526994065.80000001</v>
      </c>
      <c r="T164" s="168" t="s">
        <v>4437</v>
      </c>
      <c r="U164" s="56">
        <v>5904</v>
      </c>
      <c r="V164" s="113">
        <v>237.148</v>
      </c>
      <c r="W164" s="113">
        <f t="shared" si="40"/>
        <v>1400121.7919999999</v>
      </c>
      <c r="X164" s="99" t="s">
        <v>751</v>
      </c>
      <c r="Y164" s="96"/>
      <c r="AH164" s="99">
        <v>144</v>
      </c>
      <c r="AI164" s="113" t="s">
        <v>5013</v>
      </c>
      <c r="AJ164" s="113">
        <v>2000000</v>
      </c>
      <c r="AK164" s="99">
        <v>0</v>
      </c>
      <c r="AL164" s="20">
        <f t="shared" si="38"/>
        <v>88</v>
      </c>
      <c r="AM164" s="117">
        <f t="shared" si="39"/>
        <v>176000000</v>
      </c>
      <c r="AN164" s="20"/>
    </row>
    <row r="165" spans="15:43">
      <c r="O165" s="96"/>
      <c r="Q165" s="99" t="s">
        <v>4447</v>
      </c>
      <c r="R165" s="95">
        <f>SUM(N28:N30)</f>
        <v>91233522</v>
      </c>
      <c r="T165" s="168" t="s">
        <v>4230</v>
      </c>
      <c r="U165" s="168">
        <v>1000</v>
      </c>
      <c r="V165" s="113">
        <v>247.393</v>
      </c>
      <c r="W165" s="113">
        <f t="shared" si="40"/>
        <v>247393</v>
      </c>
      <c r="X165" s="99" t="s">
        <v>751</v>
      </c>
      <c r="Y165" s="96"/>
      <c r="AH165" s="99">
        <v>145</v>
      </c>
      <c r="AI165" s="113" t="s">
        <v>5013</v>
      </c>
      <c r="AJ165" s="113">
        <v>360000</v>
      </c>
      <c r="AK165" s="99">
        <v>1</v>
      </c>
      <c r="AL165" s="20">
        <f t="shared" si="38"/>
        <v>88</v>
      </c>
      <c r="AM165" s="117">
        <f t="shared" si="39"/>
        <v>31680000</v>
      </c>
      <c r="AN165" s="20"/>
    </row>
    <row r="166" spans="15:43">
      <c r="Q166" s="99" t="s">
        <v>4448</v>
      </c>
      <c r="R166" s="95">
        <f>N41</f>
        <v>1965</v>
      </c>
      <c r="T166" s="168" t="s">
        <v>4491</v>
      </c>
      <c r="U166" s="168">
        <v>8071</v>
      </c>
      <c r="V166" s="113">
        <v>247.797</v>
      </c>
      <c r="W166" s="113">
        <f t="shared" si="40"/>
        <v>1999969.5870000001</v>
      </c>
      <c r="X166" s="99" t="s">
        <v>4444</v>
      </c>
      <c r="Y166" t="s">
        <v>25</v>
      </c>
      <c r="AH166" s="99">
        <v>146</v>
      </c>
      <c r="AI166" s="113" t="s">
        <v>5014</v>
      </c>
      <c r="AJ166" s="113">
        <v>3000000</v>
      </c>
      <c r="AK166" s="99">
        <v>1</v>
      </c>
      <c r="AL166" s="20">
        <f t="shared" si="38"/>
        <v>87</v>
      </c>
      <c r="AM166" s="117">
        <f t="shared" si="39"/>
        <v>261000000</v>
      </c>
      <c r="AN166" s="20"/>
    </row>
    <row r="167" spans="15:43">
      <c r="Q167" s="99" t="s">
        <v>4449</v>
      </c>
      <c r="R167" s="95">
        <f>N20</f>
        <v>1330520</v>
      </c>
      <c r="T167" s="168" t="s">
        <v>4491</v>
      </c>
      <c r="U167" s="168">
        <v>53672</v>
      </c>
      <c r="V167" s="113">
        <v>247.797</v>
      </c>
      <c r="W167" s="113">
        <f t="shared" si="40"/>
        <v>13299760.584000001</v>
      </c>
      <c r="X167" s="99" t="s">
        <v>452</v>
      </c>
      <c r="AH167" s="99">
        <v>147</v>
      </c>
      <c r="AI167" s="113" t="s">
        <v>5011</v>
      </c>
      <c r="AJ167" s="113">
        <v>-658226</v>
      </c>
      <c r="AK167" s="99">
        <v>1</v>
      </c>
      <c r="AL167" s="20">
        <f t="shared" si="38"/>
        <v>86</v>
      </c>
      <c r="AM167" s="117">
        <f t="shared" si="39"/>
        <v>-56607436</v>
      </c>
      <c r="AN167" s="20"/>
    </row>
    <row r="168" spans="15:43">
      <c r="Q168" s="99" t="s">
        <v>4450</v>
      </c>
      <c r="R168" s="95">
        <f>N27</f>
        <v>13158</v>
      </c>
      <c r="T168" s="168" t="s">
        <v>4499</v>
      </c>
      <c r="U168" s="168">
        <v>4099</v>
      </c>
      <c r="V168" s="113">
        <v>243.93</v>
      </c>
      <c r="W168" s="113">
        <f t="shared" si="40"/>
        <v>999869.07000000007</v>
      </c>
      <c r="X168" s="99" t="s">
        <v>4444</v>
      </c>
      <c r="Y168" t="s">
        <v>25</v>
      </c>
      <c r="AH168" s="99">
        <v>148</v>
      </c>
      <c r="AI168" s="113" t="s">
        <v>5017</v>
      </c>
      <c r="AJ168" s="113">
        <v>1000000</v>
      </c>
      <c r="AK168" s="99">
        <v>15</v>
      </c>
      <c r="AL168" s="20">
        <f t="shared" si="38"/>
        <v>85</v>
      </c>
      <c r="AM168" s="117">
        <f t="shared" si="39"/>
        <v>85000000</v>
      </c>
      <c r="AN168" s="20"/>
      <c r="AP168" t="s">
        <v>25</v>
      </c>
    </row>
    <row r="169" spans="15:43">
      <c r="Q169" s="99" t="s">
        <v>4462</v>
      </c>
      <c r="R169" s="95">
        <v>0</v>
      </c>
      <c r="T169" s="168" t="s">
        <v>4499</v>
      </c>
      <c r="U169" s="168">
        <v>9301</v>
      </c>
      <c r="V169" s="113">
        <v>243.93</v>
      </c>
      <c r="W169" s="113">
        <f t="shared" si="40"/>
        <v>2268792.9300000002</v>
      </c>
      <c r="X169" s="99" t="s">
        <v>452</v>
      </c>
      <c r="AH169" s="99">
        <v>149</v>
      </c>
      <c r="AI169" s="113" t="s">
        <v>5057</v>
      </c>
      <c r="AJ169" s="113">
        <v>1130250</v>
      </c>
      <c r="AK169" s="99">
        <v>5</v>
      </c>
      <c r="AL169" s="20">
        <f t="shared" si="31"/>
        <v>70</v>
      </c>
      <c r="AM169" s="117">
        <f t="shared" si="37"/>
        <v>79117500</v>
      </c>
      <c r="AN169" s="20"/>
    </row>
    <row r="170" spans="15:43">
      <c r="Q170" s="99" t="s">
        <v>4923</v>
      </c>
      <c r="R170" s="95">
        <v>0</v>
      </c>
      <c r="T170" s="168" t="s">
        <v>4505</v>
      </c>
      <c r="U170" s="168">
        <v>8334</v>
      </c>
      <c r="V170" s="113">
        <v>239.97</v>
      </c>
      <c r="W170" s="113">
        <f t="shared" si="40"/>
        <v>1999909.98</v>
      </c>
      <c r="X170" s="99" t="s">
        <v>4444</v>
      </c>
      <c r="Y170" t="s">
        <v>25</v>
      </c>
      <c r="AE170" s="96" t="s">
        <v>25</v>
      </c>
      <c r="AH170" s="99">
        <v>150</v>
      </c>
      <c r="AI170" s="113" t="s">
        <v>5073</v>
      </c>
      <c r="AJ170" s="113">
        <v>206000</v>
      </c>
      <c r="AK170" s="99">
        <v>2</v>
      </c>
      <c r="AL170" s="20">
        <f t="shared" si="31"/>
        <v>65</v>
      </c>
      <c r="AM170" s="117">
        <f t="shared" si="37"/>
        <v>13390000</v>
      </c>
      <c r="AN170" s="20"/>
    </row>
    <row r="171" spans="15:43">
      <c r="Q171" s="99" t="s">
        <v>5100</v>
      </c>
      <c r="R171" s="95">
        <v>204600</v>
      </c>
      <c r="T171" s="168" t="s">
        <v>4229</v>
      </c>
      <c r="U171" s="168">
        <v>29041</v>
      </c>
      <c r="V171" s="113">
        <v>233.45</v>
      </c>
      <c r="W171" s="113">
        <f t="shared" si="40"/>
        <v>6779621.4499999993</v>
      </c>
      <c r="X171" s="99" t="s">
        <v>751</v>
      </c>
      <c r="AH171" s="99">
        <v>151</v>
      </c>
      <c r="AI171" s="113" t="s">
        <v>5080</v>
      </c>
      <c r="AJ171" s="113">
        <v>50000</v>
      </c>
      <c r="AK171" s="99">
        <v>2</v>
      </c>
      <c r="AL171" s="20">
        <f t="shared" si="31"/>
        <v>63</v>
      </c>
      <c r="AM171" s="117">
        <f t="shared" si="37"/>
        <v>3150000</v>
      </c>
      <c r="AN171" s="20"/>
    </row>
    <row r="172" spans="15:43">
      <c r="Q172" s="99"/>
      <c r="R172" s="95"/>
      <c r="S172" s="115"/>
      <c r="T172" s="168" t="s">
        <v>993</v>
      </c>
      <c r="U172" s="168">
        <v>12337</v>
      </c>
      <c r="V172" s="113">
        <v>243.16300000000001</v>
      </c>
      <c r="W172" s="113">
        <f t="shared" si="40"/>
        <v>2999901.9310000003</v>
      </c>
      <c r="X172" s="99" t="s">
        <v>4444</v>
      </c>
      <c r="AH172" s="99">
        <v>152</v>
      </c>
      <c r="AI172" s="113" t="s">
        <v>5087</v>
      </c>
      <c r="AJ172" s="113">
        <v>105000</v>
      </c>
      <c r="AK172" s="99">
        <v>4</v>
      </c>
      <c r="AL172" s="20">
        <f t="shared" si="31"/>
        <v>61</v>
      </c>
      <c r="AM172" s="117">
        <f t="shared" si="37"/>
        <v>6405000</v>
      </c>
      <c r="AN172" s="20"/>
    </row>
    <row r="173" spans="15:43">
      <c r="Q173" s="99"/>
      <c r="R173" s="95"/>
      <c r="S173" s="122"/>
      <c r="T173" s="168" t="s">
        <v>4586</v>
      </c>
      <c r="U173" s="168">
        <v>-16118</v>
      </c>
      <c r="V173" s="113">
        <v>248.17</v>
      </c>
      <c r="W173" s="113">
        <f t="shared" si="40"/>
        <v>-4000004.0599999996</v>
      </c>
      <c r="X173" s="99" t="s">
        <v>751</v>
      </c>
      <c r="AH173" s="99">
        <v>153</v>
      </c>
      <c r="AI173" s="113" t="s">
        <v>5092</v>
      </c>
      <c r="AJ173" s="113">
        <v>5000000</v>
      </c>
      <c r="AK173" s="99">
        <v>1</v>
      </c>
      <c r="AL173" s="20">
        <f t="shared" si="31"/>
        <v>57</v>
      </c>
      <c r="AM173" s="117">
        <f t="shared" si="37"/>
        <v>285000000</v>
      </c>
      <c r="AN173" s="20"/>
    </row>
    <row r="174" spans="15:43">
      <c r="Q174" s="99" t="s">
        <v>5130</v>
      </c>
      <c r="R174" s="95">
        <v>200000</v>
      </c>
      <c r="S174" s="115"/>
      <c r="T174" s="168" t="s">
        <v>4614</v>
      </c>
      <c r="U174" s="168">
        <v>101681</v>
      </c>
      <c r="V174" s="113">
        <v>246.5711</v>
      </c>
      <c r="W174" s="113">
        <f t="shared" si="40"/>
        <v>25071596.019099999</v>
      </c>
      <c r="X174" s="99" t="s">
        <v>452</v>
      </c>
      <c r="AH174" s="99">
        <v>154</v>
      </c>
      <c r="AI174" s="113" t="s">
        <v>5095</v>
      </c>
      <c r="AJ174" s="113">
        <v>2500000</v>
      </c>
      <c r="AK174" s="99">
        <v>2</v>
      </c>
      <c r="AL174" s="20">
        <f t="shared" si="31"/>
        <v>56</v>
      </c>
      <c r="AM174" s="117">
        <f t="shared" si="37"/>
        <v>140000000</v>
      </c>
      <c r="AN174" s="20"/>
    </row>
    <row r="175" spans="15:43">
      <c r="Q175" s="99" t="s">
        <v>5099</v>
      </c>
      <c r="R175" s="95">
        <v>289900</v>
      </c>
      <c r="S175" s="115"/>
      <c r="T175" s="168" t="s">
        <v>4618</v>
      </c>
      <c r="U175" s="168">
        <v>66606</v>
      </c>
      <c r="V175" s="113">
        <v>251.131</v>
      </c>
      <c r="W175" s="113">
        <f t="shared" si="40"/>
        <v>16726831.386</v>
      </c>
      <c r="X175" s="99" t="s">
        <v>751</v>
      </c>
      <c r="AH175" s="270">
        <v>155</v>
      </c>
      <c r="AI175" s="266" t="s">
        <v>5104</v>
      </c>
      <c r="AJ175" s="266">
        <v>-50000000</v>
      </c>
      <c r="AK175" s="270">
        <v>7</v>
      </c>
      <c r="AL175" s="270">
        <f t="shared" si="31"/>
        <v>54</v>
      </c>
      <c r="AM175" s="266">
        <f t="shared" si="37"/>
        <v>-2700000000</v>
      </c>
      <c r="AN175" s="270" t="s">
        <v>5113</v>
      </c>
    </row>
    <row r="176" spans="15:43">
      <c r="Q176" s="99" t="s">
        <v>4454</v>
      </c>
      <c r="R176" s="95">
        <f>SUM(R163:R175)</f>
        <v>1479644544.8000002</v>
      </c>
      <c r="T176" s="168" t="s">
        <v>4623</v>
      </c>
      <c r="U176" s="168">
        <v>172025</v>
      </c>
      <c r="V176" s="113">
        <v>245.52809999999999</v>
      </c>
      <c r="W176" s="113">
        <f t="shared" si="40"/>
        <v>42236971.402499996</v>
      </c>
      <c r="X176" s="99" t="s">
        <v>452</v>
      </c>
      <c r="AH176" s="99">
        <v>156</v>
      </c>
      <c r="AI176" s="113" t="s">
        <v>5111</v>
      </c>
      <c r="AJ176" s="113">
        <v>10000000</v>
      </c>
      <c r="AK176" s="99">
        <v>12</v>
      </c>
      <c r="AL176" s="20">
        <f t="shared" si="31"/>
        <v>47</v>
      </c>
      <c r="AM176" s="117">
        <f t="shared" si="37"/>
        <v>470000000</v>
      </c>
      <c r="AN176" s="20" t="s">
        <v>4755</v>
      </c>
    </row>
    <row r="177" spans="17:44">
      <c r="Q177" s="96"/>
      <c r="T177" s="168" t="s">
        <v>4623</v>
      </c>
      <c r="U177" s="168">
        <v>189227</v>
      </c>
      <c r="V177" s="113">
        <v>245.52809999999999</v>
      </c>
      <c r="W177" s="113">
        <f t="shared" si="40"/>
        <v>46460545.778700002</v>
      </c>
      <c r="X177" s="99" t="s">
        <v>751</v>
      </c>
      <c r="AH177" s="99">
        <v>157</v>
      </c>
      <c r="AI177" s="113" t="s">
        <v>5120</v>
      </c>
      <c r="AJ177" s="113">
        <v>-16266000</v>
      </c>
      <c r="AK177" s="99">
        <v>1</v>
      </c>
      <c r="AL177" s="20">
        <f t="shared" si="31"/>
        <v>35</v>
      </c>
      <c r="AM177" s="117">
        <f t="shared" si="37"/>
        <v>-569310000</v>
      </c>
      <c r="AN177" s="20" t="s">
        <v>5136</v>
      </c>
      <c r="AQ177" t="s">
        <v>25</v>
      </c>
    </row>
    <row r="178" spans="17:44">
      <c r="T178" s="168" t="s">
        <v>4624</v>
      </c>
      <c r="U178" s="168">
        <v>79720</v>
      </c>
      <c r="V178" s="113">
        <v>246.6568</v>
      </c>
      <c r="W178" s="113">
        <f t="shared" si="40"/>
        <v>19663480.096000001</v>
      </c>
      <c r="X178" s="99" t="s">
        <v>452</v>
      </c>
      <c r="AH178" s="99">
        <v>158</v>
      </c>
      <c r="AI178" s="113" t="s">
        <v>5137</v>
      </c>
      <c r="AJ178" s="113">
        <v>1000000</v>
      </c>
      <c r="AK178" s="99">
        <v>6</v>
      </c>
      <c r="AL178" s="20">
        <f t="shared" ref="AL178:AL190" si="41">AL179+AK178</f>
        <v>34</v>
      </c>
      <c r="AM178" s="117">
        <f t="shared" ref="AM178:AM190" si="42">AJ178*AL178</f>
        <v>34000000</v>
      </c>
      <c r="AN178" s="20"/>
    </row>
    <row r="179" spans="17:44">
      <c r="Q179" s="99" t="s">
        <v>8</v>
      </c>
      <c r="R179" s="99" t="s">
        <v>4444</v>
      </c>
      <c r="S179" s="99"/>
      <c r="T179" s="168" t="s">
        <v>4624</v>
      </c>
      <c r="U179" s="168">
        <v>79720</v>
      </c>
      <c r="V179" s="113">
        <v>246.6568</v>
      </c>
      <c r="W179" s="113">
        <f t="shared" si="40"/>
        <v>19663480.096000001</v>
      </c>
      <c r="X179" s="99" t="s">
        <v>751</v>
      </c>
      <c r="Y179" t="s">
        <v>25</v>
      </c>
      <c r="AH179" s="99">
        <v>159</v>
      </c>
      <c r="AI179" s="113" t="s">
        <v>5149</v>
      </c>
      <c r="AJ179" s="113">
        <v>40000</v>
      </c>
      <c r="AK179" s="99">
        <v>5</v>
      </c>
      <c r="AL179" s="20">
        <f t="shared" si="41"/>
        <v>28</v>
      </c>
      <c r="AM179" s="117">
        <f t="shared" si="42"/>
        <v>1120000</v>
      </c>
      <c r="AN179" s="20"/>
    </row>
    <row r="180" spans="17:44">
      <c r="Q180" s="99"/>
      <c r="R180" s="36" t="s">
        <v>180</v>
      </c>
      <c r="S180" s="99" t="s">
        <v>267</v>
      </c>
      <c r="T180" s="168" t="s">
        <v>4648</v>
      </c>
      <c r="U180" s="168">
        <v>17769</v>
      </c>
      <c r="V180" s="113">
        <v>246.17877999999999</v>
      </c>
      <c r="W180" s="113">
        <f t="shared" si="40"/>
        <v>4374350.7418200001</v>
      </c>
      <c r="X180" s="99" t="s">
        <v>751</v>
      </c>
      <c r="AH180" s="99">
        <v>160</v>
      </c>
      <c r="AI180" s="113" t="s">
        <v>5166</v>
      </c>
      <c r="AJ180" s="113">
        <v>120000</v>
      </c>
      <c r="AK180" s="99">
        <v>6</v>
      </c>
      <c r="AL180" s="20">
        <f t="shared" si="41"/>
        <v>23</v>
      </c>
      <c r="AM180" s="117">
        <f t="shared" si="42"/>
        <v>2760000</v>
      </c>
      <c r="AN180" s="20"/>
    </row>
    <row r="181" spans="17:44">
      <c r="Q181" s="99"/>
      <c r="R181" s="99" t="s">
        <v>4437</v>
      </c>
      <c r="S181" s="95">
        <v>3000000</v>
      </c>
      <c r="T181" s="168" t="s">
        <v>4648</v>
      </c>
      <c r="U181" s="168">
        <v>17769</v>
      </c>
      <c r="V181" s="113">
        <v>246.17877999999999</v>
      </c>
      <c r="W181" s="113">
        <f t="shared" si="40"/>
        <v>4374350.7418200001</v>
      </c>
      <c r="X181" s="99" t="s">
        <v>452</v>
      </c>
      <c r="Y181" t="s">
        <v>25</v>
      </c>
      <c r="AH181" s="99">
        <v>161</v>
      </c>
      <c r="AI181" s="113" t="s">
        <v>5156</v>
      </c>
      <c r="AJ181" s="113">
        <v>249000</v>
      </c>
      <c r="AK181" s="99">
        <v>9</v>
      </c>
      <c r="AL181" s="20">
        <f t="shared" si="41"/>
        <v>17</v>
      </c>
      <c r="AM181" s="117">
        <f t="shared" si="42"/>
        <v>4233000</v>
      </c>
      <c r="AN181" s="20"/>
    </row>
    <row r="182" spans="17:44">
      <c r="Q182" s="99"/>
      <c r="R182" s="99" t="s">
        <v>4491</v>
      </c>
      <c r="S182" s="95">
        <v>2000000</v>
      </c>
      <c r="T182" s="168" t="s">
        <v>4651</v>
      </c>
      <c r="U182" s="168">
        <v>12438</v>
      </c>
      <c r="V182" s="113">
        <v>241.20465999999999</v>
      </c>
      <c r="W182" s="113">
        <f t="shared" si="40"/>
        <v>3000103.5610799999</v>
      </c>
      <c r="X182" s="99" t="s">
        <v>4444</v>
      </c>
      <c r="Y182" t="s">
        <v>25</v>
      </c>
      <c r="AH182" s="99">
        <v>162</v>
      </c>
      <c r="AI182" s="113" t="s">
        <v>5192</v>
      </c>
      <c r="AJ182" s="113">
        <v>65000</v>
      </c>
      <c r="AK182" s="99">
        <v>7</v>
      </c>
      <c r="AL182" s="20">
        <f t="shared" ref="AL182:AL189" si="43">AL183+AK182</f>
        <v>8</v>
      </c>
      <c r="AM182" s="117">
        <f t="shared" ref="AM182:AM189" si="44">AJ182*AL182</f>
        <v>520000</v>
      </c>
      <c r="AN182" s="20"/>
    </row>
    <row r="183" spans="17:44">
      <c r="Q183" s="99"/>
      <c r="R183" s="99" t="s">
        <v>4499</v>
      </c>
      <c r="S183" s="95">
        <v>1000000</v>
      </c>
      <c r="T183" s="168" t="s">
        <v>4660</v>
      </c>
      <c r="U183" s="168">
        <v>27363</v>
      </c>
      <c r="V183" s="113">
        <v>239.3886</v>
      </c>
      <c r="W183" s="113">
        <f t="shared" si="40"/>
        <v>6550390.2617999995</v>
      </c>
      <c r="X183" s="99" t="s">
        <v>751</v>
      </c>
      <c r="AH183" s="99">
        <v>163</v>
      </c>
      <c r="AI183" s="113" t="s">
        <v>5212</v>
      </c>
      <c r="AJ183" s="113">
        <v>-312598</v>
      </c>
      <c r="AK183" s="99">
        <v>0</v>
      </c>
      <c r="AL183" s="20">
        <f t="shared" si="43"/>
        <v>1</v>
      </c>
      <c r="AM183" s="117">
        <f t="shared" si="44"/>
        <v>-312598</v>
      </c>
      <c r="AN183" s="20"/>
      <c r="AO183" t="s">
        <v>25</v>
      </c>
      <c r="AQ183" t="s">
        <v>25</v>
      </c>
    </row>
    <row r="184" spans="17:44">
      <c r="Q184" s="99"/>
      <c r="R184" s="99" t="s">
        <v>4505</v>
      </c>
      <c r="S184" s="95">
        <v>2000000</v>
      </c>
      <c r="T184" s="168" t="s">
        <v>4660</v>
      </c>
      <c r="U184" s="168">
        <v>27363</v>
      </c>
      <c r="V184" s="113">
        <v>239.3886</v>
      </c>
      <c r="W184" s="113">
        <f t="shared" si="40"/>
        <v>6550390.2617999995</v>
      </c>
      <c r="X184" s="99" t="s">
        <v>452</v>
      </c>
      <c r="AH184" s="99">
        <v>164</v>
      </c>
      <c r="AI184" s="113" t="s">
        <v>5212</v>
      </c>
      <c r="AJ184" s="113">
        <v>50000</v>
      </c>
      <c r="AK184" s="99">
        <v>1</v>
      </c>
      <c r="AL184" s="20">
        <f t="shared" si="43"/>
        <v>1</v>
      </c>
      <c r="AM184" s="117">
        <f t="shared" si="44"/>
        <v>50000</v>
      </c>
      <c r="AN184" s="20"/>
      <c r="AR184" t="s">
        <v>25</v>
      </c>
    </row>
    <row r="185" spans="17:44">
      <c r="Q185" s="99"/>
      <c r="R185" s="99" t="s">
        <v>993</v>
      </c>
      <c r="S185" s="95">
        <v>3000000</v>
      </c>
      <c r="T185" s="210" t="s">
        <v>4662</v>
      </c>
      <c r="U185" s="210">
        <v>27437</v>
      </c>
      <c r="V185" s="113">
        <v>242.4015</v>
      </c>
      <c r="W185" s="113">
        <f t="shared" si="40"/>
        <v>6650769.9555000002</v>
      </c>
      <c r="X185" s="99" t="s">
        <v>751</v>
      </c>
      <c r="AH185" s="99"/>
      <c r="AI185" s="113"/>
      <c r="AJ185" s="113"/>
      <c r="AK185" s="99"/>
      <c r="AL185" s="20">
        <f t="shared" si="43"/>
        <v>0</v>
      </c>
      <c r="AM185" s="117">
        <f t="shared" si="44"/>
        <v>0</v>
      </c>
      <c r="AN185" s="20"/>
    </row>
    <row r="186" spans="17:44">
      <c r="Q186" s="99"/>
      <c r="R186" s="99" t="s">
        <v>4651</v>
      </c>
      <c r="S186" s="95">
        <v>3000000</v>
      </c>
      <c r="T186" s="210" t="s">
        <v>4662</v>
      </c>
      <c r="U186" s="210">
        <v>29104</v>
      </c>
      <c r="V186" s="113">
        <v>242.4015</v>
      </c>
      <c r="W186" s="113">
        <f t="shared" si="40"/>
        <v>7054853.2560000001</v>
      </c>
      <c r="X186" s="99" t="s">
        <v>452</v>
      </c>
      <c r="AH186" s="99"/>
      <c r="AI186" s="113"/>
      <c r="AJ186" s="113"/>
      <c r="AK186" s="99"/>
      <c r="AL186" s="20">
        <f t="shared" si="43"/>
        <v>0</v>
      </c>
      <c r="AM186" s="117">
        <f t="shared" si="44"/>
        <v>0</v>
      </c>
      <c r="AN186" s="20"/>
      <c r="AQ186" t="s">
        <v>25</v>
      </c>
      <c r="AR186" t="s">
        <v>25</v>
      </c>
    </row>
    <row r="187" spans="17:44">
      <c r="Q187" s="99" t="s">
        <v>4841</v>
      </c>
      <c r="R187" s="99" t="s">
        <v>4836</v>
      </c>
      <c r="S187" s="95">
        <v>-800000</v>
      </c>
      <c r="T187" s="213" t="s">
        <v>4685</v>
      </c>
      <c r="U187" s="213">
        <v>8991</v>
      </c>
      <c r="V187" s="113">
        <v>238.64867000000001</v>
      </c>
      <c r="W187" s="113">
        <f t="shared" si="40"/>
        <v>2145690.19197</v>
      </c>
      <c r="X187" s="99" t="s">
        <v>751</v>
      </c>
      <c r="Z187" t="s">
        <v>25</v>
      </c>
      <c r="AH187" s="99"/>
      <c r="AI187" s="113"/>
      <c r="AJ187" s="113"/>
      <c r="AK187" s="99"/>
      <c r="AL187" s="20">
        <f t="shared" si="43"/>
        <v>0</v>
      </c>
      <c r="AM187" s="117">
        <f t="shared" si="44"/>
        <v>0</v>
      </c>
      <c r="AN187" s="20"/>
    </row>
    <row r="188" spans="17:44">
      <c r="Q188" s="99" t="s">
        <v>4842</v>
      </c>
      <c r="R188" s="99" t="s">
        <v>4836</v>
      </c>
      <c r="S188" s="95">
        <v>-900000</v>
      </c>
      <c r="T188" s="213" t="s">
        <v>4685</v>
      </c>
      <c r="U188" s="213">
        <v>8991</v>
      </c>
      <c r="V188" s="113">
        <v>238.64867000000001</v>
      </c>
      <c r="W188" s="113">
        <f t="shared" si="40"/>
        <v>2145690.19197</v>
      </c>
      <c r="X188" s="99" t="s">
        <v>452</v>
      </c>
      <c r="AH188" s="99"/>
      <c r="AI188" s="113"/>
      <c r="AJ188" s="113"/>
      <c r="AK188" s="99"/>
      <c r="AL188" s="20">
        <f t="shared" si="43"/>
        <v>0</v>
      </c>
      <c r="AM188" s="117">
        <f t="shared" si="44"/>
        <v>0</v>
      </c>
      <c r="AN188" s="20"/>
    </row>
    <row r="189" spans="17:44">
      <c r="Q189" s="99" t="s">
        <v>4842</v>
      </c>
      <c r="R189" s="99" t="s">
        <v>980</v>
      </c>
      <c r="S189" s="95">
        <v>-1100000</v>
      </c>
      <c r="T189" s="213" t="s">
        <v>4696</v>
      </c>
      <c r="U189" s="213">
        <v>18170</v>
      </c>
      <c r="V189" s="113">
        <v>240.48475999999999</v>
      </c>
      <c r="W189" s="113">
        <f t="shared" si="40"/>
        <v>4369608.0892000003</v>
      </c>
      <c r="X189" s="99" t="s">
        <v>751</v>
      </c>
      <c r="AH189" s="99"/>
      <c r="AI189" s="113"/>
      <c r="AJ189" s="113"/>
      <c r="AK189" s="99"/>
      <c r="AL189" s="20">
        <f t="shared" si="43"/>
        <v>0</v>
      </c>
      <c r="AM189" s="117">
        <f t="shared" si="44"/>
        <v>0</v>
      </c>
      <c r="AN189" s="20"/>
    </row>
    <row r="190" spans="17:44">
      <c r="Q190" s="195" t="s">
        <v>1086</v>
      </c>
      <c r="R190" s="195" t="s">
        <v>4865</v>
      </c>
      <c r="S190" s="242">
        <v>30000000</v>
      </c>
      <c r="T190" s="213" t="s">
        <v>4696</v>
      </c>
      <c r="U190" s="213">
        <v>18170</v>
      </c>
      <c r="V190" s="113">
        <v>240.48475999999999</v>
      </c>
      <c r="W190" s="113">
        <f t="shared" si="40"/>
        <v>4369608.0892000003</v>
      </c>
      <c r="X190" s="99" t="s">
        <v>452</v>
      </c>
      <c r="AH190" s="99"/>
      <c r="AI190" s="113"/>
      <c r="AJ190" s="113"/>
      <c r="AK190" s="99"/>
      <c r="AL190" s="20">
        <f t="shared" si="41"/>
        <v>0</v>
      </c>
      <c r="AM190" s="117">
        <f t="shared" si="42"/>
        <v>0</v>
      </c>
      <c r="AN190" s="99"/>
    </row>
    <row r="191" spans="17:44">
      <c r="Q191" s="20" t="s">
        <v>4951</v>
      </c>
      <c r="R191" s="20" t="s">
        <v>4949</v>
      </c>
      <c r="S191" s="247">
        <v>2000000</v>
      </c>
      <c r="T191" s="213" t="s">
        <v>4698</v>
      </c>
      <c r="U191" s="213">
        <v>36797</v>
      </c>
      <c r="V191" s="113">
        <v>239.0822</v>
      </c>
      <c r="W191" s="113">
        <f t="shared" si="40"/>
        <v>8797507.7134000007</v>
      </c>
      <c r="X191" s="99" t="s">
        <v>751</v>
      </c>
      <c r="Y191" t="s">
        <v>25</v>
      </c>
      <c r="AH191" s="99"/>
      <c r="AI191" s="99"/>
      <c r="AJ191" s="95">
        <f>SUM(AJ20:AJ190)</f>
        <v>494990059</v>
      </c>
      <c r="AK191" s="99"/>
      <c r="AL191" s="99"/>
      <c r="AM191" s="95">
        <f>SUM(AM20:AM190)</f>
        <v>143941091369</v>
      </c>
      <c r="AN191" s="95">
        <f>AM191*AN194/31</f>
        <v>77389231.285391062</v>
      </c>
    </row>
    <row r="192" spans="17:44">
      <c r="Q192" s="149" t="s">
        <v>4976</v>
      </c>
      <c r="R192" s="149" t="s">
        <v>4975</v>
      </c>
      <c r="S192" s="150">
        <v>480105</v>
      </c>
      <c r="T192" s="213" t="s">
        <v>4698</v>
      </c>
      <c r="U192" s="213">
        <v>36797</v>
      </c>
      <c r="V192" s="113">
        <v>239.0822</v>
      </c>
      <c r="W192" s="113">
        <f t="shared" si="40"/>
        <v>8797507.7134000007</v>
      </c>
      <c r="X192" s="99" t="s">
        <v>452</v>
      </c>
      <c r="AH192" s="99"/>
      <c r="AI192" s="99"/>
      <c r="AJ192" s="99" t="s">
        <v>4058</v>
      </c>
      <c r="AK192" s="99"/>
      <c r="AL192" s="99"/>
      <c r="AM192" s="99" t="s">
        <v>284</v>
      </c>
      <c r="AN192" s="99" t="s">
        <v>942</v>
      </c>
    </row>
    <row r="193" spans="15:44">
      <c r="Q193" s="149"/>
      <c r="R193" s="149" t="s">
        <v>5031</v>
      </c>
      <c r="S193" s="150">
        <v>30500000</v>
      </c>
      <c r="T193" s="213" t="s">
        <v>4707</v>
      </c>
      <c r="U193" s="213">
        <v>28066</v>
      </c>
      <c r="V193" s="113">
        <v>237.56970000000001</v>
      </c>
      <c r="W193" s="113">
        <f t="shared" si="40"/>
        <v>6667631.2002000008</v>
      </c>
      <c r="X193" s="99" t="s">
        <v>751</v>
      </c>
      <c r="AH193" s="99"/>
      <c r="AI193" s="99"/>
      <c r="AJ193" s="99"/>
      <c r="AK193" s="99"/>
      <c r="AL193" s="99"/>
      <c r="AM193" s="99"/>
      <c r="AN193" s="99"/>
    </row>
    <row r="194" spans="15:44">
      <c r="Q194" s="20" t="s">
        <v>5078</v>
      </c>
      <c r="R194" s="20" t="s">
        <v>5073</v>
      </c>
      <c r="S194" s="247">
        <v>-400000</v>
      </c>
      <c r="T194" s="213" t="s">
        <v>4707</v>
      </c>
      <c r="U194" s="213">
        <v>28066</v>
      </c>
      <c r="V194" s="113">
        <v>237.56970000000001</v>
      </c>
      <c r="W194" s="113">
        <f t="shared" si="40"/>
        <v>6667631.2002000008</v>
      </c>
      <c r="X194" s="99" t="s">
        <v>452</v>
      </c>
      <c r="AH194" s="99"/>
      <c r="AI194" s="99"/>
      <c r="AJ194" s="99"/>
      <c r="AK194" s="99"/>
      <c r="AL194" s="99"/>
      <c r="AM194" s="99" t="s">
        <v>4059</v>
      </c>
      <c r="AN194" s="99">
        <v>1.6667000000000001E-2</v>
      </c>
    </row>
    <row r="195" spans="15:44">
      <c r="Q195" s="99"/>
      <c r="R195" s="99"/>
      <c r="S195" s="95"/>
      <c r="T195" s="213" t="s">
        <v>3683</v>
      </c>
      <c r="U195" s="213">
        <v>37457</v>
      </c>
      <c r="V195" s="113">
        <v>239.77</v>
      </c>
      <c r="W195" s="113">
        <f t="shared" si="40"/>
        <v>8981064.8900000006</v>
      </c>
      <c r="X195" s="99" t="s">
        <v>751</v>
      </c>
      <c r="AH195" s="99"/>
      <c r="AI195" s="99"/>
      <c r="AJ195" s="99"/>
      <c r="AK195" s="99"/>
      <c r="AL195" s="99"/>
      <c r="AM195" s="99"/>
      <c r="AN195" s="99"/>
    </row>
    <row r="196" spans="15:44">
      <c r="Q196" s="99"/>
      <c r="R196" s="99"/>
      <c r="S196" s="95">
        <f>SUM(S181:S195)</f>
        <v>73780105</v>
      </c>
      <c r="T196" s="213" t="s">
        <v>3683</v>
      </c>
      <c r="U196" s="213">
        <v>37457</v>
      </c>
      <c r="V196" s="113">
        <v>239.77</v>
      </c>
      <c r="W196" s="113">
        <f t="shared" si="40"/>
        <v>8981064.8900000006</v>
      </c>
      <c r="X196" s="99" t="s">
        <v>452</v>
      </c>
      <c r="AH196" s="99"/>
      <c r="AI196" s="99" t="s">
        <v>4060</v>
      </c>
      <c r="AJ196" s="95">
        <f>AJ191+AN191</f>
        <v>572379290.28539109</v>
      </c>
      <c r="AK196" s="99"/>
      <c r="AL196" s="99"/>
      <c r="AM196" s="99"/>
      <c r="AN196" s="99"/>
    </row>
    <row r="197" spans="15:44">
      <c r="Q197" s="99"/>
      <c r="R197" s="99"/>
      <c r="S197" s="99" t="s">
        <v>6</v>
      </c>
      <c r="T197" s="213" t="s">
        <v>4720</v>
      </c>
      <c r="U197" s="213">
        <v>38412</v>
      </c>
      <c r="V197" s="113">
        <v>239.03</v>
      </c>
      <c r="W197" s="113">
        <f t="shared" si="40"/>
        <v>9181620.3599999994</v>
      </c>
      <c r="X197" s="99" t="s">
        <v>751</v>
      </c>
      <c r="Y197" t="s">
        <v>25</v>
      </c>
      <c r="AI197" t="s">
        <v>4063</v>
      </c>
      <c r="AJ197" s="114">
        <f>SUM(N41:N49)</f>
        <v>859378779.00000012</v>
      </c>
    </row>
    <row r="198" spans="15:44">
      <c r="O198" t="s">
        <v>25</v>
      </c>
      <c r="T198" s="213" t="s">
        <v>4720</v>
      </c>
      <c r="U198" s="213">
        <v>38412</v>
      </c>
      <c r="V198" s="113">
        <v>239.03</v>
      </c>
      <c r="W198" s="113">
        <f t="shared" si="40"/>
        <v>9181620.3599999994</v>
      </c>
      <c r="X198" s="99" t="s">
        <v>452</v>
      </c>
      <c r="AI198" t="s">
        <v>4135</v>
      </c>
      <c r="AJ198" s="114">
        <f>AJ197-AJ191</f>
        <v>364388720.00000012</v>
      </c>
      <c r="AM198" t="s">
        <v>25</v>
      </c>
    </row>
    <row r="199" spans="15:44">
      <c r="Q199" s="96"/>
      <c r="R199" s="96" t="s">
        <v>25</v>
      </c>
      <c r="T199" s="213" t="s">
        <v>4724</v>
      </c>
      <c r="U199" s="213">
        <v>49555</v>
      </c>
      <c r="V199" s="113">
        <v>238.345</v>
      </c>
      <c r="W199" s="113">
        <f t="shared" si="40"/>
        <v>11811186.475</v>
      </c>
      <c r="X199" s="99" t="s">
        <v>751</v>
      </c>
      <c r="AI199" t="s">
        <v>942</v>
      </c>
      <c r="AJ199" s="114">
        <f>AN191</f>
        <v>77389231.285391062</v>
      </c>
      <c r="AN199" t="s">
        <v>25</v>
      </c>
    </row>
    <row r="200" spans="15:44">
      <c r="Q200" s="96"/>
      <c r="R200" s="96" t="s">
        <v>25</v>
      </c>
      <c r="T200" s="213" t="s">
        <v>4724</v>
      </c>
      <c r="U200" s="213">
        <v>49555</v>
      </c>
      <c r="V200" s="113">
        <v>238.345</v>
      </c>
      <c r="W200" s="113">
        <f t="shared" si="40"/>
        <v>11811186.475</v>
      </c>
      <c r="X200" s="99" t="s">
        <v>452</v>
      </c>
      <c r="AI200" t="s">
        <v>4064</v>
      </c>
      <c r="AJ200" s="114">
        <f>AJ197-AJ196</f>
        <v>286999488.71460903</v>
      </c>
      <c r="AN200" t="s">
        <v>25</v>
      </c>
    </row>
    <row r="201" spans="15:44">
      <c r="T201" s="213" t="s">
        <v>4738</v>
      </c>
      <c r="U201" s="213">
        <v>160187</v>
      </c>
      <c r="V201" s="113">
        <v>257.49799999999999</v>
      </c>
      <c r="W201" s="113">
        <f t="shared" si="40"/>
        <v>41247832.126000002</v>
      </c>
      <c r="X201" s="99" t="s">
        <v>751</v>
      </c>
      <c r="AM201" t="s">
        <v>25</v>
      </c>
      <c r="AQ201" t="s">
        <v>25</v>
      </c>
    </row>
    <row r="202" spans="15:44">
      <c r="Q202" s="99" t="s">
        <v>751</v>
      </c>
      <c r="R202" s="99"/>
      <c r="T202" s="213" t="s">
        <v>4738</v>
      </c>
      <c r="U202" s="213">
        <v>160187</v>
      </c>
      <c r="V202" s="113">
        <v>257.49799999999999</v>
      </c>
      <c r="W202" s="113">
        <f t="shared" si="40"/>
        <v>41247832.126000002</v>
      </c>
      <c r="X202" s="99" t="s">
        <v>452</v>
      </c>
      <c r="AJ202" t="s">
        <v>25</v>
      </c>
    </row>
    <row r="203" spans="15:44">
      <c r="Q203" s="99" t="s">
        <v>4437</v>
      </c>
      <c r="R203" s="95">
        <v>172908000</v>
      </c>
      <c r="T203" s="213" t="s">
        <v>4746</v>
      </c>
      <c r="U203" s="213">
        <v>144401</v>
      </c>
      <c r="V203" s="113">
        <v>258.5061</v>
      </c>
      <c r="W203" s="113">
        <f t="shared" si="40"/>
        <v>37328539.346100003</v>
      </c>
      <c r="X203" s="99" t="s">
        <v>751</v>
      </c>
    </row>
    <row r="204" spans="15:44">
      <c r="Q204" s="99" t="s">
        <v>4478</v>
      </c>
      <c r="R204" s="95">
        <v>1400000</v>
      </c>
      <c r="T204" s="213" t="s">
        <v>4746</v>
      </c>
      <c r="U204" s="213">
        <v>144401</v>
      </c>
      <c r="V204" s="113">
        <v>258.5061</v>
      </c>
      <c r="W204" s="113">
        <f t="shared" si="40"/>
        <v>37328539.346100003</v>
      </c>
      <c r="X204" s="99" t="s">
        <v>452</v>
      </c>
      <c r="AR204" t="s">
        <v>25</v>
      </c>
    </row>
    <row r="205" spans="15:44">
      <c r="Q205" s="99" t="s">
        <v>4230</v>
      </c>
      <c r="R205" s="95">
        <v>247393</v>
      </c>
      <c r="S205" t="s">
        <v>25</v>
      </c>
      <c r="T205" s="168" t="s">
        <v>4753</v>
      </c>
      <c r="U205" s="168">
        <v>196500</v>
      </c>
      <c r="V205" s="113">
        <v>254.452</v>
      </c>
      <c r="W205" s="113">
        <f t="shared" si="40"/>
        <v>49999818</v>
      </c>
      <c r="X205" s="99" t="s">
        <v>4757</v>
      </c>
    </row>
    <row r="206" spans="15:44">
      <c r="Q206" s="99" t="s">
        <v>4229</v>
      </c>
      <c r="R206" s="95">
        <v>6780000</v>
      </c>
      <c r="T206" s="213" t="s">
        <v>4753</v>
      </c>
      <c r="U206" s="213">
        <v>2561</v>
      </c>
      <c r="V206" s="113">
        <v>254.536</v>
      </c>
      <c r="W206" s="113">
        <f t="shared" si="40"/>
        <v>651866.696</v>
      </c>
      <c r="X206" s="99" t="s">
        <v>4758</v>
      </c>
    </row>
    <row r="207" spans="15:44">
      <c r="Q207" s="99" t="s">
        <v>4586</v>
      </c>
      <c r="R207" s="95">
        <v>-4000000</v>
      </c>
      <c r="T207" s="213" t="s">
        <v>4802</v>
      </c>
      <c r="U207" s="213">
        <v>-11795</v>
      </c>
      <c r="V207" s="113">
        <v>254.334</v>
      </c>
      <c r="W207" s="113">
        <f t="shared" si="40"/>
        <v>-2999869.5300000003</v>
      </c>
      <c r="X207" s="99" t="s">
        <v>4803</v>
      </c>
      <c r="AH207" s="99" t="s">
        <v>3640</v>
      </c>
      <c r="AI207" s="99" t="s">
        <v>180</v>
      </c>
      <c r="AJ207" s="99" t="s">
        <v>267</v>
      </c>
      <c r="AK207" s="99" t="s">
        <v>4057</v>
      </c>
      <c r="AL207" s="99" t="s">
        <v>4049</v>
      </c>
      <c r="AM207" s="99" t="s">
        <v>282</v>
      </c>
      <c r="AN207" s="99" t="s">
        <v>4291</v>
      </c>
      <c r="AR207" t="s">
        <v>25</v>
      </c>
    </row>
    <row r="208" spans="15:44">
      <c r="Q208" s="99" t="s">
        <v>4618</v>
      </c>
      <c r="R208" s="95">
        <v>16727037</v>
      </c>
      <c r="T208" s="213" t="s">
        <v>4802</v>
      </c>
      <c r="U208" s="213">
        <v>11795</v>
      </c>
      <c r="V208" s="113">
        <v>254.334</v>
      </c>
      <c r="W208" s="113">
        <f t="shared" si="40"/>
        <v>2999869.5300000003</v>
      </c>
      <c r="X208" s="99" t="s">
        <v>4804</v>
      </c>
      <c r="AH208" s="99">
        <v>1</v>
      </c>
      <c r="AI208" s="99" t="s">
        <v>3948</v>
      </c>
      <c r="AJ208" s="117">
        <v>3555820</v>
      </c>
      <c r="AK208" s="99">
        <v>2</v>
      </c>
      <c r="AL208" s="99">
        <f>AK208+AL209</f>
        <v>402</v>
      </c>
      <c r="AM208" s="99">
        <f>AJ208*AL208</f>
        <v>1429439640</v>
      </c>
      <c r="AN208" s="99" t="s">
        <v>4311</v>
      </c>
    </row>
    <row r="209" spans="17:45">
      <c r="Q209" s="99" t="s">
        <v>4623</v>
      </c>
      <c r="R209" s="95">
        <v>46460683</v>
      </c>
      <c r="S209" t="s">
        <v>25</v>
      </c>
      <c r="T209" s="213" t="s">
        <v>4817</v>
      </c>
      <c r="U209" s="213">
        <v>260</v>
      </c>
      <c r="V209" s="113">
        <v>263.19</v>
      </c>
      <c r="W209" s="113">
        <f t="shared" si="40"/>
        <v>68429.399999999994</v>
      </c>
      <c r="X209" s="99" t="s">
        <v>452</v>
      </c>
      <c r="AH209" s="99">
        <v>2</v>
      </c>
      <c r="AI209" s="99" t="s">
        <v>4023</v>
      </c>
      <c r="AJ209" s="117">
        <v>1720837</v>
      </c>
      <c r="AK209" s="99">
        <v>51</v>
      </c>
      <c r="AL209" s="99">
        <f t="shared" ref="AL209:AL218" si="45">AK209+AL210</f>
        <v>400</v>
      </c>
      <c r="AM209" s="99">
        <f t="shared" ref="AM209:AM237" si="46">AJ209*AL209</f>
        <v>688334800</v>
      </c>
      <c r="AN209" s="99" t="s">
        <v>4312</v>
      </c>
      <c r="AP209" t="s">
        <v>25</v>
      </c>
    </row>
    <row r="210" spans="17:45">
      <c r="Q210" s="99" t="s">
        <v>4624</v>
      </c>
      <c r="R210" s="95">
        <v>19663646</v>
      </c>
      <c r="T210" s="213" t="s">
        <v>4831</v>
      </c>
      <c r="U210" s="213">
        <v>15257</v>
      </c>
      <c r="V210" s="113">
        <v>262.19018</v>
      </c>
      <c r="W210" s="113">
        <f t="shared" si="40"/>
        <v>4000235.57626</v>
      </c>
      <c r="X210" s="99" t="s">
        <v>452</v>
      </c>
      <c r="Z210" t="s">
        <v>25</v>
      </c>
      <c r="AH210" s="99">
        <v>3</v>
      </c>
      <c r="AI210" s="99" t="s">
        <v>4129</v>
      </c>
      <c r="AJ210" s="117">
        <v>150000</v>
      </c>
      <c r="AK210" s="99">
        <v>3</v>
      </c>
      <c r="AL210" s="99">
        <f t="shared" si="45"/>
        <v>349</v>
      </c>
      <c r="AM210" s="99">
        <f t="shared" si="46"/>
        <v>52350000</v>
      </c>
      <c r="AN210" s="99"/>
    </row>
    <row r="211" spans="17:45">
      <c r="Q211" s="99" t="s">
        <v>4648</v>
      </c>
      <c r="R211" s="95">
        <v>4374525</v>
      </c>
      <c r="T211" s="213" t="s">
        <v>4831</v>
      </c>
      <c r="U211" s="213">
        <v>8444</v>
      </c>
      <c r="V211" s="113">
        <v>266.43029999999999</v>
      </c>
      <c r="W211" s="113">
        <f t="shared" si="40"/>
        <v>2249737.4531999999</v>
      </c>
      <c r="X211" s="99" t="s">
        <v>452</v>
      </c>
      <c r="AH211" s="99">
        <v>4</v>
      </c>
      <c r="AI211" s="99" t="s">
        <v>4144</v>
      </c>
      <c r="AJ211" s="117">
        <v>-95000</v>
      </c>
      <c r="AK211" s="99">
        <v>8</v>
      </c>
      <c r="AL211" s="99">
        <f t="shared" si="45"/>
        <v>346</v>
      </c>
      <c r="AM211" s="99">
        <f t="shared" si="46"/>
        <v>-32870000</v>
      </c>
      <c r="AN211" s="99"/>
    </row>
    <row r="212" spans="17:45">
      <c r="Q212" s="99" t="s">
        <v>4660</v>
      </c>
      <c r="R212" s="95">
        <v>6550580</v>
      </c>
      <c r="T212" s="213" t="s">
        <v>4836</v>
      </c>
      <c r="U212" s="213">
        <v>-6209</v>
      </c>
      <c r="V212" s="113">
        <v>273.79649999999998</v>
      </c>
      <c r="W212" s="113">
        <f t="shared" si="40"/>
        <v>-1700002.4685</v>
      </c>
      <c r="X212" s="99" t="s">
        <v>4847</v>
      </c>
      <c r="AH212" s="99">
        <v>5</v>
      </c>
      <c r="AI212" s="99" t="s">
        <v>4171</v>
      </c>
      <c r="AJ212" s="117">
        <v>3150000</v>
      </c>
      <c r="AK212" s="99">
        <v>16</v>
      </c>
      <c r="AL212" s="99">
        <f t="shared" si="45"/>
        <v>338</v>
      </c>
      <c r="AM212" s="99">
        <f t="shared" si="46"/>
        <v>1064700000</v>
      </c>
      <c r="AN212" s="99"/>
    </row>
    <row r="213" spans="17:45">
      <c r="Q213" s="99" t="s">
        <v>4662</v>
      </c>
      <c r="R213" s="95">
        <v>6650895</v>
      </c>
      <c r="T213" s="213" t="s">
        <v>4836</v>
      </c>
      <c r="U213" s="213">
        <v>-8014</v>
      </c>
      <c r="V213" s="113">
        <v>273.79649999999998</v>
      </c>
      <c r="W213" s="113">
        <f t="shared" si="40"/>
        <v>-2194205.1510000001</v>
      </c>
      <c r="X213" s="99" t="s">
        <v>751</v>
      </c>
      <c r="AH213" s="99">
        <v>6</v>
      </c>
      <c r="AI213" s="99" t="s">
        <v>4239</v>
      </c>
      <c r="AJ213" s="117">
        <v>-65000</v>
      </c>
      <c r="AK213" s="99">
        <v>1</v>
      </c>
      <c r="AL213" s="99">
        <f t="shared" si="45"/>
        <v>322</v>
      </c>
      <c r="AM213" s="99">
        <f t="shared" si="46"/>
        <v>-20930000</v>
      </c>
      <c r="AN213" s="99"/>
      <c r="AR213" t="s">
        <v>25</v>
      </c>
    </row>
    <row r="214" spans="17:45">
      <c r="Q214" s="99" t="s">
        <v>4685</v>
      </c>
      <c r="R214" s="95">
        <v>2145814</v>
      </c>
      <c r="T214" s="213" t="s">
        <v>4845</v>
      </c>
      <c r="U214" s="213">
        <v>-9176</v>
      </c>
      <c r="V214" s="113">
        <v>273.79649999999998</v>
      </c>
      <c r="W214" s="113">
        <f t="shared" si="40"/>
        <v>-2512356.6839999999</v>
      </c>
      <c r="X214" s="99" t="s">
        <v>452</v>
      </c>
      <c r="AH214" s="99">
        <v>7</v>
      </c>
      <c r="AI214" s="99" t="s">
        <v>4313</v>
      </c>
      <c r="AJ214" s="117">
        <v>-95000</v>
      </c>
      <c r="AK214" s="99">
        <v>6</v>
      </c>
      <c r="AL214" s="99">
        <f t="shared" si="45"/>
        <v>321</v>
      </c>
      <c r="AM214" s="99">
        <f t="shared" si="46"/>
        <v>-30495000</v>
      </c>
      <c r="AN214" s="99"/>
      <c r="AQ214" t="s">
        <v>25</v>
      </c>
    </row>
    <row r="215" spans="17:45">
      <c r="Q215" s="99" t="s">
        <v>4696</v>
      </c>
      <c r="R215" s="95">
        <v>4369730</v>
      </c>
      <c r="T215" s="213" t="s">
        <v>4845</v>
      </c>
      <c r="U215" s="213">
        <v>1087</v>
      </c>
      <c r="V215" s="113">
        <v>273.79649999999998</v>
      </c>
      <c r="W215" s="113">
        <f t="shared" si="40"/>
        <v>297616.79550000001</v>
      </c>
      <c r="X215" s="99" t="s">
        <v>452</v>
      </c>
      <c r="AH215" s="99">
        <v>8</v>
      </c>
      <c r="AI215" s="99" t="s">
        <v>4314</v>
      </c>
      <c r="AJ215" s="117">
        <v>232000</v>
      </c>
      <c r="AK215" s="99">
        <v>7</v>
      </c>
      <c r="AL215" s="99">
        <f t="shared" si="45"/>
        <v>315</v>
      </c>
      <c r="AM215" s="99">
        <f t="shared" si="46"/>
        <v>73080000</v>
      </c>
      <c r="AN215" s="99"/>
    </row>
    <row r="216" spans="17:45">
      <c r="Q216" s="99" t="s">
        <v>4698</v>
      </c>
      <c r="R216" s="95">
        <v>8739459</v>
      </c>
      <c r="S216" t="s">
        <v>25</v>
      </c>
      <c r="T216" s="213" t="s">
        <v>980</v>
      </c>
      <c r="U216" s="213">
        <v>-4017</v>
      </c>
      <c r="V216" s="113">
        <v>273.79649999999998</v>
      </c>
      <c r="W216" s="113">
        <f t="shared" si="40"/>
        <v>-1099840.5404999999</v>
      </c>
      <c r="X216" s="99" t="s">
        <v>4444</v>
      </c>
      <c r="AH216" s="99">
        <v>9</v>
      </c>
      <c r="AI216" s="99" t="s">
        <v>4290</v>
      </c>
      <c r="AJ216" s="117">
        <v>13000000</v>
      </c>
      <c r="AK216" s="99">
        <v>2</v>
      </c>
      <c r="AL216" s="99">
        <f t="shared" si="45"/>
        <v>308</v>
      </c>
      <c r="AM216" s="99">
        <f t="shared" si="46"/>
        <v>4004000000</v>
      </c>
      <c r="AN216" s="99"/>
    </row>
    <row r="217" spans="17:45">
      <c r="Q217" s="99" t="s">
        <v>4707</v>
      </c>
      <c r="R217" s="95">
        <v>6667654</v>
      </c>
      <c r="T217" s="213" t="s">
        <v>980</v>
      </c>
      <c r="U217" s="213">
        <v>4017</v>
      </c>
      <c r="V217" s="113">
        <v>273.79649999999998</v>
      </c>
      <c r="W217" s="113">
        <f t="shared" si="40"/>
        <v>1099840.5404999999</v>
      </c>
      <c r="X217" s="99" t="s">
        <v>452</v>
      </c>
      <c r="AH217" s="99">
        <v>10</v>
      </c>
      <c r="AI217" s="99" t="s">
        <v>4315</v>
      </c>
      <c r="AJ217" s="117">
        <v>10000000</v>
      </c>
      <c r="AK217" s="99">
        <v>3</v>
      </c>
      <c r="AL217" s="99">
        <f t="shared" si="45"/>
        <v>306</v>
      </c>
      <c r="AM217" s="99">
        <f t="shared" si="46"/>
        <v>3060000000</v>
      </c>
      <c r="AN217" s="99"/>
    </row>
    <row r="218" spans="17:45">
      <c r="Q218" s="99" t="s">
        <v>4715</v>
      </c>
      <c r="R218" s="95">
        <v>8981245</v>
      </c>
      <c r="T218" s="213" t="s">
        <v>4852</v>
      </c>
      <c r="U218" s="213">
        <v>3137</v>
      </c>
      <c r="V218" s="113">
        <v>283.69110000000001</v>
      </c>
      <c r="W218" s="113">
        <f t="shared" si="40"/>
        <v>889938.98070000007</v>
      </c>
      <c r="X218" s="99" t="s">
        <v>452</v>
      </c>
      <c r="AH218" s="99">
        <v>11</v>
      </c>
      <c r="AI218" s="99" t="s">
        <v>4303</v>
      </c>
      <c r="AJ218" s="117">
        <v>3400000</v>
      </c>
      <c r="AK218" s="99">
        <v>9</v>
      </c>
      <c r="AL218" s="99">
        <f t="shared" si="45"/>
        <v>303</v>
      </c>
      <c r="AM218" s="99">
        <f t="shared" si="46"/>
        <v>1030200000</v>
      </c>
      <c r="AN218" s="99"/>
      <c r="AS218" t="s">
        <v>25</v>
      </c>
    </row>
    <row r="219" spans="17:45">
      <c r="Q219" s="99" t="s">
        <v>4720</v>
      </c>
      <c r="R219" s="95">
        <v>9181756</v>
      </c>
      <c r="T219" s="213" t="s">
        <v>4865</v>
      </c>
      <c r="U219" s="213">
        <v>101933</v>
      </c>
      <c r="V219" s="113">
        <v>294.30973999999998</v>
      </c>
      <c r="W219" s="113">
        <f t="shared" si="40"/>
        <v>29999874.727419998</v>
      </c>
      <c r="X219" s="99" t="s">
        <v>1086</v>
      </c>
      <c r="AH219" s="99">
        <v>12</v>
      </c>
      <c r="AI219" s="99" t="s">
        <v>4345</v>
      </c>
      <c r="AJ219" s="117">
        <v>-8736514</v>
      </c>
      <c r="AK219" s="99">
        <v>1</v>
      </c>
      <c r="AL219" s="99">
        <f>AK219+AL220</f>
        <v>294</v>
      </c>
      <c r="AM219" s="99">
        <f t="shared" si="46"/>
        <v>-2568535116</v>
      </c>
      <c r="AN219" s="99"/>
    </row>
    <row r="220" spans="17:45">
      <c r="Q220" s="99" t="s">
        <v>4724</v>
      </c>
      <c r="R220" s="95">
        <v>11811208</v>
      </c>
      <c r="S220" t="s">
        <v>25</v>
      </c>
      <c r="T220" s="213" t="s">
        <v>4872</v>
      </c>
      <c r="U220" s="213">
        <v>3407</v>
      </c>
      <c r="V220" s="113">
        <v>293.43799999999999</v>
      </c>
      <c r="W220" s="113">
        <f t="shared" si="40"/>
        <v>999743.26599999995</v>
      </c>
      <c r="X220" s="99" t="s">
        <v>452</v>
      </c>
      <c r="AH220" s="99">
        <v>13</v>
      </c>
      <c r="AI220" s="99" t="s">
        <v>4346</v>
      </c>
      <c r="AJ220" s="117">
        <v>555000</v>
      </c>
      <c r="AK220" s="99">
        <v>5</v>
      </c>
      <c r="AL220" s="99">
        <f t="shared" ref="AL220:AL236" si="47">AK220+AL221</f>
        <v>293</v>
      </c>
      <c r="AM220" s="99">
        <f t="shared" si="46"/>
        <v>162615000</v>
      </c>
      <c r="AN220" s="99"/>
    </row>
    <row r="221" spans="17:45">
      <c r="Q221" s="99" t="s">
        <v>4738</v>
      </c>
      <c r="R221" s="95">
        <v>41248054</v>
      </c>
      <c r="S221" t="s">
        <v>25</v>
      </c>
      <c r="T221" s="213" t="s">
        <v>4873</v>
      </c>
      <c r="U221" s="213">
        <v>68796</v>
      </c>
      <c r="V221" s="113">
        <v>293.53250000000003</v>
      </c>
      <c r="W221" s="113">
        <f t="shared" si="40"/>
        <v>20193861.870000001</v>
      </c>
      <c r="X221" s="99" t="s">
        <v>751</v>
      </c>
      <c r="AH221" s="99">
        <v>14</v>
      </c>
      <c r="AI221" s="99" t="s">
        <v>4370</v>
      </c>
      <c r="AJ221" s="117">
        <v>-448308</v>
      </c>
      <c r="AK221" s="99">
        <v>6</v>
      </c>
      <c r="AL221" s="99">
        <f t="shared" si="47"/>
        <v>288</v>
      </c>
      <c r="AM221" s="99">
        <f t="shared" si="46"/>
        <v>-129112704</v>
      </c>
      <c r="AN221" s="99"/>
    </row>
    <row r="222" spans="17:45">
      <c r="Q222" s="99" t="s">
        <v>4746</v>
      </c>
      <c r="R222" s="95">
        <v>37328780</v>
      </c>
      <c r="T222" s="213" t="s">
        <v>4873</v>
      </c>
      <c r="U222" s="213">
        <v>154791</v>
      </c>
      <c r="V222" s="113">
        <v>293.53250000000003</v>
      </c>
      <c r="W222" s="113">
        <f t="shared" si="40"/>
        <v>45436189.207500003</v>
      </c>
      <c r="X222" s="99" t="s">
        <v>452</v>
      </c>
      <c r="AH222" s="99">
        <v>15</v>
      </c>
      <c r="AI222" s="99" t="s">
        <v>4400</v>
      </c>
      <c r="AJ222" s="117">
        <v>33225</v>
      </c>
      <c r="AK222" s="99">
        <v>0</v>
      </c>
      <c r="AL222" s="99">
        <f t="shared" si="47"/>
        <v>282</v>
      </c>
      <c r="AM222" s="99">
        <f t="shared" si="46"/>
        <v>9369450</v>
      </c>
      <c r="AN222" s="99"/>
    </row>
    <row r="223" spans="17:45">
      <c r="Q223" s="99" t="s">
        <v>4836</v>
      </c>
      <c r="R223" s="95">
        <v>-2194100</v>
      </c>
      <c r="T223" s="213" t="s">
        <v>4873</v>
      </c>
      <c r="U223" s="213">
        <v>-11923</v>
      </c>
      <c r="V223" s="113">
        <v>293.53250000000003</v>
      </c>
      <c r="W223" s="113">
        <f t="shared" si="40"/>
        <v>-3499787.9975000005</v>
      </c>
      <c r="X223" s="99" t="s">
        <v>452</v>
      </c>
      <c r="AH223" s="149">
        <v>16</v>
      </c>
      <c r="AI223" s="149" t="s">
        <v>4400</v>
      </c>
      <c r="AJ223" s="188">
        <v>4098523</v>
      </c>
      <c r="AK223" s="149">
        <v>2</v>
      </c>
      <c r="AL223" s="149">
        <f t="shared" si="47"/>
        <v>282</v>
      </c>
      <c r="AM223" s="149">
        <f t="shared" si="46"/>
        <v>1155783486</v>
      </c>
      <c r="AN223" s="149" t="s">
        <v>657</v>
      </c>
    </row>
    <row r="224" spans="17:45">
      <c r="Q224" s="99" t="s">
        <v>4873</v>
      </c>
      <c r="R224" s="95">
        <v>20193916</v>
      </c>
      <c r="T224" s="213" t="s">
        <v>4887</v>
      </c>
      <c r="U224" s="213">
        <v>8424</v>
      </c>
      <c r="V224" s="113">
        <v>299.15170000000001</v>
      </c>
      <c r="W224" s="113">
        <f t="shared" si="40"/>
        <v>2520053.9208</v>
      </c>
      <c r="X224" s="99" t="s">
        <v>452</v>
      </c>
      <c r="Z224" t="s">
        <v>25</v>
      </c>
      <c r="AH224" s="149">
        <v>17</v>
      </c>
      <c r="AI224" s="149" t="s">
        <v>4413</v>
      </c>
      <c r="AJ224" s="188">
        <v>-1000000</v>
      </c>
      <c r="AK224" s="149">
        <v>7</v>
      </c>
      <c r="AL224" s="149">
        <f t="shared" si="47"/>
        <v>280</v>
      </c>
      <c r="AM224" s="149">
        <f t="shared" si="46"/>
        <v>-280000000</v>
      </c>
      <c r="AN224" s="149" t="s">
        <v>657</v>
      </c>
    </row>
    <row r="225" spans="17:44">
      <c r="Q225" s="99" t="s">
        <v>4949</v>
      </c>
      <c r="R225" s="95">
        <v>-2000000</v>
      </c>
      <c r="T225" s="213" t="s">
        <v>4922</v>
      </c>
      <c r="U225" s="213">
        <v>15943</v>
      </c>
      <c r="V225" s="113">
        <v>307.34415000000001</v>
      </c>
      <c r="W225" s="113">
        <f t="shared" si="40"/>
        <v>4899987.78345</v>
      </c>
      <c r="X225" s="99" t="s">
        <v>452</v>
      </c>
      <c r="AH225" s="149">
        <v>18</v>
      </c>
      <c r="AI225" s="149" t="s">
        <v>4433</v>
      </c>
      <c r="AJ225" s="188">
        <v>750000</v>
      </c>
      <c r="AK225" s="149">
        <v>1</v>
      </c>
      <c r="AL225" s="149">
        <f t="shared" si="47"/>
        <v>273</v>
      </c>
      <c r="AM225" s="149">
        <f t="shared" si="46"/>
        <v>204750000</v>
      </c>
      <c r="AN225" s="149" t="s">
        <v>657</v>
      </c>
    </row>
    <row r="226" spans="17:44">
      <c r="Q226" s="99" t="s">
        <v>5031</v>
      </c>
      <c r="R226" s="95">
        <v>6800000</v>
      </c>
      <c r="S226" t="s">
        <v>25</v>
      </c>
      <c r="T226" s="213" t="s">
        <v>4943</v>
      </c>
      <c r="U226" s="213">
        <v>3741</v>
      </c>
      <c r="V226" s="113">
        <v>307.34415000000001</v>
      </c>
      <c r="W226" s="113">
        <f t="shared" si="40"/>
        <v>1149774.4651500001</v>
      </c>
      <c r="X226" s="99" t="s">
        <v>452</v>
      </c>
      <c r="Y226" t="s">
        <v>25</v>
      </c>
      <c r="AH226" s="195">
        <v>19</v>
      </c>
      <c r="AI226" s="195" t="s">
        <v>4435</v>
      </c>
      <c r="AJ226" s="196">
        <v>-604152</v>
      </c>
      <c r="AK226" s="195">
        <v>0</v>
      </c>
      <c r="AL226" s="195">
        <f t="shared" si="47"/>
        <v>272</v>
      </c>
      <c r="AM226" s="195">
        <f t="shared" si="46"/>
        <v>-164329344</v>
      </c>
      <c r="AN226" s="195" t="s">
        <v>657</v>
      </c>
    </row>
    <row r="227" spans="17:44">
      <c r="Q227" s="99" t="s">
        <v>5047</v>
      </c>
      <c r="R227" s="95">
        <v>850000</v>
      </c>
      <c r="T227" s="213" t="s">
        <v>4949</v>
      </c>
      <c r="U227" s="213">
        <v>-6207</v>
      </c>
      <c r="V227" s="113">
        <v>322.214</v>
      </c>
      <c r="W227" s="113">
        <f t="shared" si="40"/>
        <v>-1999982.298</v>
      </c>
      <c r="X227" s="99" t="s">
        <v>751</v>
      </c>
      <c r="AH227" s="99">
        <v>20</v>
      </c>
      <c r="AI227" s="99" t="s">
        <v>4436</v>
      </c>
      <c r="AJ227" s="117">
        <v>-587083</v>
      </c>
      <c r="AK227" s="99">
        <v>4</v>
      </c>
      <c r="AL227" s="99">
        <f t="shared" si="47"/>
        <v>272</v>
      </c>
      <c r="AM227" s="99">
        <f t="shared" si="46"/>
        <v>-159686576</v>
      </c>
      <c r="AN227" s="99"/>
    </row>
    <row r="228" spans="17:44">
      <c r="Q228" s="99" t="s">
        <v>5057</v>
      </c>
      <c r="R228" s="95">
        <v>2290500</v>
      </c>
      <c r="T228" s="213" t="s">
        <v>4949</v>
      </c>
      <c r="U228" s="213">
        <v>6207</v>
      </c>
      <c r="V228" s="113">
        <v>322.214</v>
      </c>
      <c r="W228" s="113">
        <f t="shared" si="40"/>
        <v>1999982.298</v>
      </c>
      <c r="X228" s="99" t="s">
        <v>4444</v>
      </c>
      <c r="Y228" s="96"/>
      <c r="AH228" s="195">
        <v>21</v>
      </c>
      <c r="AI228" s="195" t="s">
        <v>4437</v>
      </c>
      <c r="AJ228" s="196">
        <v>-754351</v>
      </c>
      <c r="AK228" s="195">
        <v>0</v>
      </c>
      <c r="AL228" s="149">
        <f t="shared" si="47"/>
        <v>268</v>
      </c>
      <c r="AM228" s="195">
        <f t="shared" si="46"/>
        <v>-202166068</v>
      </c>
      <c r="AN228" s="195" t="s">
        <v>657</v>
      </c>
    </row>
    <row r="229" spans="17:44">
      <c r="Q229" s="99" t="s">
        <v>5073</v>
      </c>
      <c r="R229" s="95">
        <v>400000</v>
      </c>
      <c r="S229" t="s">
        <v>25</v>
      </c>
      <c r="T229" s="213" t="s">
        <v>4894</v>
      </c>
      <c r="U229" s="213">
        <v>776</v>
      </c>
      <c r="V229" s="113">
        <v>322.214</v>
      </c>
      <c r="W229" s="113">
        <f t="shared" si="40"/>
        <v>250038.06400000001</v>
      </c>
      <c r="X229" s="99" t="s">
        <v>452</v>
      </c>
      <c r="Y229" t="s">
        <v>25</v>
      </c>
      <c r="AH229" s="99">
        <v>22</v>
      </c>
      <c r="AI229" s="99" t="s">
        <v>4437</v>
      </c>
      <c r="AJ229" s="117">
        <v>-189619</v>
      </c>
      <c r="AK229" s="99">
        <v>15</v>
      </c>
      <c r="AL229" s="99">
        <f t="shared" si="47"/>
        <v>268</v>
      </c>
      <c r="AM229" s="99">
        <f t="shared" si="46"/>
        <v>-50817892</v>
      </c>
      <c r="AN229" s="99"/>
    </row>
    <row r="230" spans="17:44">
      <c r="Q230" s="99" t="s">
        <v>5080</v>
      </c>
      <c r="R230" s="95">
        <v>150000</v>
      </c>
      <c r="T230" s="213" t="s">
        <v>4975</v>
      </c>
      <c r="U230" s="213">
        <v>1524</v>
      </c>
      <c r="V230" s="113">
        <v>314.95999999999998</v>
      </c>
      <c r="W230" s="113">
        <f t="shared" si="40"/>
        <v>479999.04</v>
      </c>
      <c r="X230" s="99" t="s">
        <v>1086</v>
      </c>
      <c r="AH230" s="195">
        <v>23</v>
      </c>
      <c r="AI230" s="195" t="s">
        <v>4509</v>
      </c>
      <c r="AJ230" s="188">
        <v>7100</v>
      </c>
      <c r="AK230" s="195">
        <v>0</v>
      </c>
      <c r="AL230" s="149">
        <f t="shared" si="47"/>
        <v>253</v>
      </c>
      <c r="AM230" s="195">
        <f t="shared" si="46"/>
        <v>1796300</v>
      </c>
      <c r="AN230" s="195" t="s">
        <v>657</v>
      </c>
      <c r="AQ230" t="s">
        <v>25</v>
      </c>
    </row>
    <row r="231" spans="17:44">
      <c r="Q231" s="99" t="s">
        <v>5166</v>
      </c>
      <c r="R231" s="95">
        <v>320000</v>
      </c>
      <c r="T231" s="213" t="s">
        <v>4984</v>
      </c>
      <c r="U231" s="213">
        <v>4435</v>
      </c>
      <c r="V231" s="113">
        <v>316.4375</v>
      </c>
      <c r="W231" s="113">
        <f t="shared" si="40"/>
        <v>1403400.3125</v>
      </c>
      <c r="X231" s="99" t="s">
        <v>452</v>
      </c>
      <c r="AH231" s="20">
        <v>24</v>
      </c>
      <c r="AI231" s="20" t="s">
        <v>4509</v>
      </c>
      <c r="AJ231" s="117">
        <v>-147902</v>
      </c>
      <c r="AK231" s="20">
        <v>3</v>
      </c>
      <c r="AL231" s="99">
        <f t="shared" si="47"/>
        <v>253</v>
      </c>
      <c r="AM231" s="20">
        <f t="shared" si="46"/>
        <v>-37419206</v>
      </c>
      <c r="AN231" s="20"/>
    </row>
    <row r="232" spans="17:44">
      <c r="Q232" s="99" t="s">
        <v>5172</v>
      </c>
      <c r="R232" s="95">
        <v>500000</v>
      </c>
      <c r="T232" s="213" t="s">
        <v>4989</v>
      </c>
      <c r="U232" s="213">
        <v>624</v>
      </c>
      <c r="V232" s="113">
        <v>320.5</v>
      </c>
      <c r="W232" s="113">
        <f t="shared" si="40"/>
        <v>199992</v>
      </c>
      <c r="X232" s="99" t="s">
        <v>452</v>
      </c>
      <c r="AH232" s="149">
        <v>25</v>
      </c>
      <c r="AI232" s="149" t="s">
        <v>4517</v>
      </c>
      <c r="AJ232" s="188">
        <v>-37200</v>
      </c>
      <c r="AK232" s="149">
        <v>4</v>
      </c>
      <c r="AL232" s="149">
        <f t="shared" si="47"/>
        <v>250</v>
      </c>
      <c r="AM232" s="195">
        <f t="shared" si="46"/>
        <v>-9300000</v>
      </c>
      <c r="AN232" s="149" t="s">
        <v>657</v>
      </c>
    </row>
    <row r="233" spans="17:44">
      <c r="Q233" s="99"/>
      <c r="R233" s="95"/>
      <c r="S233" t="s">
        <v>25</v>
      </c>
      <c r="T233" s="213" t="s">
        <v>4996</v>
      </c>
      <c r="U233" s="213">
        <v>1086</v>
      </c>
      <c r="V233" s="113">
        <v>317.55</v>
      </c>
      <c r="W233" s="113">
        <f t="shared" si="40"/>
        <v>344859.3</v>
      </c>
      <c r="X233" s="99" t="s">
        <v>452</v>
      </c>
      <c r="Y233" t="s">
        <v>25</v>
      </c>
      <c r="AH233" s="99">
        <v>26</v>
      </c>
      <c r="AI233" s="99" t="s">
        <v>4548</v>
      </c>
      <c r="AJ233" s="117">
        <v>-372326</v>
      </c>
      <c r="AK233" s="99">
        <v>21</v>
      </c>
      <c r="AL233" s="99">
        <f t="shared" si="47"/>
        <v>246</v>
      </c>
      <c r="AM233" s="20">
        <f t="shared" si="46"/>
        <v>-91592196</v>
      </c>
      <c r="AN233" s="99"/>
    </row>
    <row r="234" spans="17:44">
      <c r="Q234" s="99"/>
      <c r="R234" s="95">
        <f>SUM(R203:R233)</f>
        <v>435546775</v>
      </c>
      <c r="T234" s="213" t="s">
        <v>5002</v>
      </c>
      <c r="U234" s="213">
        <v>2820</v>
      </c>
      <c r="V234" s="113">
        <v>319.1096</v>
      </c>
      <c r="W234" s="113">
        <f t="shared" si="40"/>
        <v>899889.07200000004</v>
      </c>
      <c r="X234" s="99" t="s">
        <v>452</v>
      </c>
      <c r="AH234" s="99">
        <v>27</v>
      </c>
      <c r="AI234" s="99" t="s">
        <v>4600</v>
      </c>
      <c r="AJ234" s="117">
        <v>235062</v>
      </c>
      <c r="AK234" s="99">
        <v>0</v>
      </c>
      <c r="AL234" s="99">
        <f t="shared" si="47"/>
        <v>225</v>
      </c>
      <c r="AM234" s="20">
        <f t="shared" si="46"/>
        <v>52888950</v>
      </c>
      <c r="AN234" s="99"/>
    </row>
    <row r="235" spans="17:44">
      <c r="Q235" s="99"/>
      <c r="R235" s="99" t="s">
        <v>6</v>
      </c>
      <c r="S235" t="s">
        <v>25</v>
      </c>
      <c r="T235" s="213" t="s">
        <v>5006</v>
      </c>
      <c r="U235" s="213">
        <v>1145</v>
      </c>
      <c r="V235" s="113">
        <v>325.44</v>
      </c>
      <c r="W235" s="113">
        <f t="shared" si="40"/>
        <v>372628.8</v>
      </c>
      <c r="X235" s="99" t="s">
        <v>452</v>
      </c>
      <c r="Z235" t="s">
        <v>25</v>
      </c>
      <c r="AA235" t="s">
        <v>25</v>
      </c>
      <c r="AH235" s="149">
        <v>28</v>
      </c>
      <c r="AI235" s="149" t="s">
        <v>4600</v>
      </c>
      <c r="AJ235" s="188">
        <v>235062</v>
      </c>
      <c r="AK235" s="149">
        <v>9</v>
      </c>
      <c r="AL235" s="99">
        <f t="shared" si="47"/>
        <v>225</v>
      </c>
      <c r="AM235" s="149">
        <f t="shared" si="46"/>
        <v>52888950</v>
      </c>
      <c r="AN235" s="149" t="s">
        <v>657</v>
      </c>
    </row>
    <row r="236" spans="17:44">
      <c r="T236" s="213" t="s">
        <v>5017</v>
      </c>
      <c r="U236" s="213">
        <v>20153</v>
      </c>
      <c r="V236" s="113">
        <v>322</v>
      </c>
      <c r="W236" s="113">
        <f t="shared" si="40"/>
        <v>6489266</v>
      </c>
      <c r="X236" s="99" t="s">
        <v>452</v>
      </c>
      <c r="AH236" s="149">
        <v>29</v>
      </c>
      <c r="AI236" s="149" t="s">
        <v>4624</v>
      </c>
      <c r="AJ236" s="188">
        <v>450000</v>
      </c>
      <c r="AK236" s="149">
        <v>0</v>
      </c>
      <c r="AL236" s="99">
        <f t="shared" si="47"/>
        <v>216</v>
      </c>
      <c r="AM236" s="149">
        <f t="shared" si="46"/>
        <v>97200000</v>
      </c>
      <c r="AN236" s="149" t="s">
        <v>657</v>
      </c>
    </row>
    <row r="237" spans="17:44">
      <c r="T237" s="213" t="s">
        <v>5031</v>
      </c>
      <c r="U237" s="213">
        <v>93720</v>
      </c>
      <c r="V237" s="113">
        <v>325.435</v>
      </c>
      <c r="W237" s="113">
        <f t="shared" si="40"/>
        <v>30499768.199999999</v>
      </c>
      <c r="X237" s="99" t="s">
        <v>1086</v>
      </c>
      <c r="Y237" t="s">
        <v>25</v>
      </c>
      <c r="AH237" s="20">
        <v>30</v>
      </c>
      <c r="AI237" s="20" t="s">
        <v>4624</v>
      </c>
      <c r="AJ237" s="117">
        <v>450000</v>
      </c>
      <c r="AK237" s="20">
        <v>22</v>
      </c>
      <c r="AL237" s="99">
        <f>AK237+AL238</f>
        <v>216</v>
      </c>
      <c r="AM237" s="20">
        <f t="shared" si="46"/>
        <v>97200000</v>
      </c>
      <c r="AN237" s="20"/>
    </row>
    <row r="238" spans="17:44">
      <c r="Q238" s="99" t="s">
        <v>452</v>
      </c>
      <c r="R238" s="99"/>
      <c r="T238" s="213" t="s">
        <v>5031</v>
      </c>
      <c r="U238" s="213">
        <v>20895</v>
      </c>
      <c r="V238" s="113">
        <v>325.435</v>
      </c>
      <c r="W238" s="113">
        <f t="shared" si="40"/>
        <v>6799964.3250000002</v>
      </c>
      <c r="X238" s="99" t="s">
        <v>751</v>
      </c>
      <c r="AH238" s="149">
        <v>31</v>
      </c>
      <c r="AI238" s="149" t="s">
        <v>4698</v>
      </c>
      <c r="AJ238" s="188">
        <v>300000</v>
      </c>
      <c r="AK238" s="149">
        <v>0</v>
      </c>
      <c r="AL238" s="149">
        <f t="shared" ref="AL238:AL253" si="48">AK238+AL239</f>
        <v>194</v>
      </c>
      <c r="AM238" s="149">
        <f t="shared" ref="AM238:AM241" si="49">AJ238*AL238</f>
        <v>58200000</v>
      </c>
      <c r="AN238" s="149"/>
      <c r="AR238" t="s">
        <v>25</v>
      </c>
    </row>
    <row r="239" spans="17:44" ht="30">
      <c r="Q239" s="99" t="s">
        <v>4437</v>
      </c>
      <c r="R239" s="95">
        <v>63115000</v>
      </c>
      <c r="T239" s="213" t="s">
        <v>5047</v>
      </c>
      <c r="U239" s="213">
        <v>2611</v>
      </c>
      <c r="V239" s="113">
        <v>325.435</v>
      </c>
      <c r="W239" s="113">
        <f t="shared" si="40"/>
        <v>849710.78500000003</v>
      </c>
      <c r="X239" s="99" t="s">
        <v>751</v>
      </c>
      <c r="AH239" s="121">
        <v>32</v>
      </c>
      <c r="AI239" s="121" t="s">
        <v>4698</v>
      </c>
      <c r="AJ239" s="79">
        <v>288936</v>
      </c>
      <c r="AK239" s="121">
        <v>3</v>
      </c>
      <c r="AL239" s="121">
        <f t="shared" si="48"/>
        <v>194</v>
      </c>
      <c r="AM239" s="121">
        <f t="shared" si="49"/>
        <v>56053584</v>
      </c>
      <c r="AN239" s="205" t="s">
        <v>4709</v>
      </c>
      <c r="AR239" t="s">
        <v>25</v>
      </c>
    </row>
    <row r="240" spans="17:44">
      <c r="Q240" s="99" t="s">
        <v>4491</v>
      </c>
      <c r="R240" s="95">
        <v>13300000</v>
      </c>
      <c r="T240" s="213" t="s">
        <v>5057</v>
      </c>
      <c r="U240" s="213">
        <v>6750</v>
      </c>
      <c r="V240" s="113">
        <v>339.3</v>
      </c>
      <c r="W240" s="113">
        <f t="shared" si="40"/>
        <v>2290275</v>
      </c>
      <c r="X240" s="99" t="s">
        <v>751</v>
      </c>
      <c r="AH240" s="121">
        <v>33</v>
      </c>
      <c r="AI240" s="121" t="s">
        <v>4707</v>
      </c>
      <c r="AJ240" s="79">
        <v>17962491</v>
      </c>
      <c r="AK240" s="121">
        <v>1</v>
      </c>
      <c r="AL240" s="121">
        <f t="shared" si="48"/>
        <v>191</v>
      </c>
      <c r="AM240" s="121">
        <f t="shared" si="49"/>
        <v>3430835781</v>
      </c>
      <c r="AN240" s="121" t="s">
        <v>4714</v>
      </c>
    </row>
    <row r="241" spans="16:43">
      <c r="Q241" s="99" t="s">
        <v>4499</v>
      </c>
      <c r="R241" s="95">
        <v>2269000</v>
      </c>
      <c r="T241" s="213" t="s">
        <v>5073</v>
      </c>
      <c r="U241" s="213">
        <v>1850</v>
      </c>
      <c r="V241" s="113">
        <v>334.10050000000001</v>
      </c>
      <c r="W241" s="113">
        <f t="shared" si="40"/>
        <v>618085.92500000005</v>
      </c>
      <c r="X241" s="99" t="s">
        <v>452</v>
      </c>
      <c r="AH241" s="121">
        <v>34</v>
      </c>
      <c r="AI241" s="121" t="s">
        <v>3683</v>
      </c>
      <c r="AJ241" s="79">
        <v>18363511</v>
      </c>
      <c r="AK241" s="121">
        <v>1</v>
      </c>
      <c r="AL241" s="121">
        <f t="shared" si="48"/>
        <v>190</v>
      </c>
      <c r="AM241" s="121">
        <f t="shared" si="49"/>
        <v>3489067090</v>
      </c>
      <c r="AN241" s="121" t="s">
        <v>4714</v>
      </c>
    </row>
    <row r="242" spans="16:43">
      <c r="Q242" s="99" t="s">
        <v>4614</v>
      </c>
      <c r="R242" s="95">
        <v>25071612</v>
      </c>
      <c r="T242" s="213" t="s">
        <v>5073</v>
      </c>
      <c r="U242" s="213">
        <v>-1194</v>
      </c>
      <c r="V242" s="113">
        <v>335</v>
      </c>
      <c r="W242" s="113">
        <f t="shared" si="40"/>
        <v>-399990</v>
      </c>
      <c r="X242" s="99" t="s">
        <v>4444</v>
      </c>
      <c r="AH242" s="121">
        <v>35</v>
      </c>
      <c r="AI242" s="121" t="s">
        <v>4720</v>
      </c>
      <c r="AJ242" s="79">
        <v>23622417</v>
      </c>
      <c r="AK242" s="121">
        <v>5</v>
      </c>
      <c r="AL242" s="121">
        <f t="shared" si="48"/>
        <v>189</v>
      </c>
      <c r="AM242" s="121">
        <f t="shared" ref="AM242:AM245" si="50">AJ242*AL242</f>
        <v>4464636813</v>
      </c>
      <c r="AN242" s="121" t="s">
        <v>4723</v>
      </c>
    </row>
    <row r="243" spans="16:43">
      <c r="P243" t="s">
        <v>25</v>
      </c>
      <c r="Q243" s="99" t="s">
        <v>4623</v>
      </c>
      <c r="R243" s="95">
        <v>42236984</v>
      </c>
      <c r="T243" s="213" t="s">
        <v>5073</v>
      </c>
      <c r="U243" s="213">
        <v>1194</v>
      </c>
      <c r="V243" s="113">
        <v>335</v>
      </c>
      <c r="W243" s="113">
        <f t="shared" si="40"/>
        <v>399990</v>
      </c>
      <c r="X243" s="99" t="s">
        <v>751</v>
      </c>
      <c r="AH243" s="121">
        <v>36</v>
      </c>
      <c r="AI243" s="121" t="s">
        <v>4736</v>
      </c>
      <c r="AJ243" s="79">
        <v>82496108</v>
      </c>
      <c r="AK243" s="121">
        <v>1</v>
      </c>
      <c r="AL243" s="121">
        <f t="shared" si="48"/>
        <v>184</v>
      </c>
      <c r="AM243" s="121">
        <f t="shared" si="50"/>
        <v>15179283872</v>
      </c>
      <c r="AN243" s="121" t="s">
        <v>4739</v>
      </c>
    </row>
    <row r="244" spans="16:43">
      <c r="Q244" s="99" t="s">
        <v>4624</v>
      </c>
      <c r="R244" s="95">
        <v>19663646</v>
      </c>
      <c r="T244" s="213" t="s">
        <v>5080</v>
      </c>
      <c r="U244" s="213">
        <v>433</v>
      </c>
      <c r="V244" s="113">
        <v>345.68</v>
      </c>
      <c r="W244" s="113">
        <f t="shared" si="40"/>
        <v>149679.44</v>
      </c>
      <c r="X244" s="99" t="s">
        <v>751</v>
      </c>
      <c r="AH244" s="121">
        <v>37</v>
      </c>
      <c r="AI244" s="121" t="s">
        <v>4738</v>
      </c>
      <c r="AJ244" s="79">
        <v>74657561</v>
      </c>
      <c r="AK244" s="121">
        <v>16</v>
      </c>
      <c r="AL244" s="121">
        <f t="shared" si="48"/>
        <v>183</v>
      </c>
      <c r="AM244" s="121">
        <f t="shared" si="50"/>
        <v>13662333663</v>
      </c>
      <c r="AN244" s="121" t="s">
        <v>4745</v>
      </c>
    </row>
    <row r="245" spans="16:43">
      <c r="Q245" s="99" t="s">
        <v>4648</v>
      </c>
      <c r="R245" s="95">
        <v>4374525</v>
      </c>
      <c r="T245" s="213" t="s">
        <v>5087</v>
      </c>
      <c r="U245" s="213">
        <v>55459</v>
      </c>
      <c r="V245" s="113">
        <v>362.51978000000003</v>
      </c>
      <c r="W245" s="113">
        <f t="shared" si="40"/>
        <v>20104984.479020003</v>
      </c>
      <c r="X245" s="99" t="s">
        <v>452</v>
      </c>
      <c r="AH245" s="99">
        <v>38</v>
      </c>
      <c r="AI245" s="99" t="s">
        <v>4817</v>
      </c>
      <c r="AJ245" s="117">
        <v>665000</v>
      </c>
      <c r="AK245" s="99">
        <v>0</v>
      </c>
      <c r="AL245" s="99">
        <f t="shared" si="48"/>
        <v>167</v>
      </c>
      <c r="AM245" s="20">
        <f t="shared" si="50"/>
        <v>111055000</v>
      </c>
      <c r="AN245" s="99"/>
    </row>
    <row r="246" spans="16:43">
      <c r="Q246" s="99" t="s">
        <v>4660</v>
      </c>
      <c r="R246" s="95">
        <v>6550580</v>
      </c>
      <c r="T246" s="213" t="s">
        <v>5092</v>
      </c>
      <c r="U246" s="213">
        <v>-57212</v>
      </c>
      <c r="V246" s="113">
        <v>368.45400000000001</v>
      </c>
      <c r="W246" s="113">
        <f t="shared" si="40"/>
        <v>-21079990.248</v>
      </c>
      <c r="X246" s="99" t="s">
        <v>452</v>
      </c>
      <c r="AH246" s="149">
        <v>39</v>
      </c>
      <c r="AI246" s="149" t="s">
        <v>4817</v>
      </c>
      <c r="AJ246" s="188">
        <v>665000</v>
      </c>
      <c r="AK246" s="149">
        <v>4</v>
      </c>
      <c r="AL246" s="195">
        <f t="shared" si="48"/>
        <v>167</v>
      </c>
      <c r="AM246" s="195">
        <f t="shared" ref="AM246:AM247" si="51">AJ246*AL246</f>
        <v>111055000</v>
      </c>
      <c r="AN246" s="195"/>
    </row>
    <row r="247" spans="16:43">
      <c r="Q247" s="99" t="s">
        <v>4662</v>
      </c>
      <c r="R247" s="95">
        <v>7054895</v>
      </c>
      <c r="T247" s="213" t="s">
        <v>5095</v>
      </c>
      <c r="U247" s="213">
        <v>-15881</v>
      </c>
      <c r="V247" s="113">
        <v>374.61599999999999</v>
      </c>
      <c r="W247" s="113">
        <f t="shared" si="40"/>
        <v>-5949276.6959999995</v>
      </c>
      <c r="X247" s="99" t="s">
        <v>452</v>
      </c>
      <c r="AH247" s="20">
        <v>40</v>
      </c>
      <c r="AI247" s="20" t="s">
        <v>4831</v>
      </c>
      <c r="AJ247" s="117">
        <v>2000000</v>
      </c>
      <c r="AK247" s="20">
        <v>1</v>
      </c>
      <c r="AL247" s="99">
        <f t="shared" si="48"/>
        <v>163</v>
      </c>
      <c r="AM247" s="20">
        <f t="shared" si="51"/>
        <v>326000000</v>
      </c>
      <c r="AN247" s="99"/>
    </row>
    <row r="248" spans="16:43">
      <c r="Q248" s="99" t="s">
        <v>4685</v>
      </c>
      <c r="R248" s="95">
        <v>2145814</v>
      </c>
      <c r="T248" s="213" t="s">
        <v>5104</v>
      </c>
      <c r="U248" s="213">
        <v>-41289</v>
      </c>
      <c r="V248" s="113">
        <v>372.27</v>
      </c>
      <c r="W248" s="113">
        <f t="shared" si="40"/>
        <v>-15370656.029999999</v>
      </c>
      <c r="X248" s="99" t="s">
        <v>452</v>
      </c>
      <c r="AH248" s="20">
        <v>41</v>
      </c>
      <c r="AI248" s="20" t="s">
        <v>4836</v>
      </c>
      <c r="AJ248" s="117">
        <v>-2060725</v>
      </c>
      <c r="AK248" s="20">
        <v>0</v>
      </c>
      <c r="AL248" s="99">
        <f t="shared" si="48"/>
        <v>162</v>
      </c>
      <c r="AM248" s="20">
        <f t="shared" ref="AM248:AM253" si="52">AJ248*AL248</f>
        <v>-333837450</v>
      </c>
      <c r="AN248" s="99" t="s">
        <v>4837</v>
      </c>
    </row>
    <row r="249" spans="16:43">
      <c r="Q249" s="99" t="s">
        <v>4696</v>
      </c>
      <c r="R249" s="95">
        <v>4369730</v>
      </c>
      <c r="T249" s="213" t="s">
        <v>5111</v>
      </c>
      <c r="U249" s="213">
        <v>13563</v>
      </c>
      <c r="V249" s="113">
        <v>365.69799999999998</v>
      </c>
      <c r="W249" s="113">
        <f t="shared" si="40"/>
        <v>4959961.9739999995</v>
      </c>
      <c r="X249" s="99" t="s">
        <v>452</v>
      </c>
      <c r="AH249" s="149">
        <v>42</v>
      </c>
      <c r="AI249" s="149" t="s">
        <v>4836</v>
      </c>
      <c r="AJ249" s="188">
        <v>-433375</v>
      </c>
      <c r="AK249" s="149">
        <v>0</v>
      </c>
      <c r="AL249" s="149">
        <f t="shared" si="48"/>
        <v>162</v>
      </c>
      <c r="AM249" s="149">
        <f t="shared" si="52"/>
        <v>-70206750</v>
      </c>
      <c r="AN249" s="149" t="s">
        <v>4838</v>
      </c>
      <c r="AP249" t="s">
        <v>25</v>
      </c>
    </row>
    <row r="250" spans="16:43">
      <c r="Q250" s="99" t="s">
        <v>4698</v>
      </c>
      <c r="R250" s="95">
        <v>8739459</v>
      </c>
      <c r="T250" s="213" t="s">
        <v>5111</v>
      </c>
      <c r="U250" s="213">
        <v>27344</v>
      </c>
      <c r="V250" s="113">
        <v>365.69799999999998</v>
      </c>
      <c r="W250" s="113">
        <f t="shared" si="40"/>
        <v>9999646.1119999997</v>
      </c>
      <c r="X250" s="99" t="s">
        <v>452</v>
      </c>
      <c r="Y250" t="s">
        <v>25</v>
      </c>
      <c r="AH250" s="20">
        <v>43</v>
      </c>
      <c r="AI250" s="20" t="s">
        <v>4836</v>
      </c>
      <c r="AJ250" s="117">
        <v>28000000</v>
      </c>
      <c r="AK250" s="20">
        <v>1</v>
      </c>
      <c r="AL250" s="99">
        <f t="shared" si="48"/>
        <v>162</v>
      </c>
      <c r="AM250" s="20">
        <f t="shared" si="52"/>
        <v>4536000000</v>
      </c>
      <c r="AN250" s="99" t="s">
        <v>3890</v>
      </c>
    </row>
    <row r="251" spans="16:43" ht="30">
      <c r="Q251" s="99" t="s">
        <v>4707</v>
      </c>
      <c r="R251" s="95">
        <v>6667654</v>
      </c>
      <c r="T251" s="213" t="s">
        <v>5120</v>
      </c>
      <c r="U251" s="213">
        <v>-103145</v>
      </c>
      <c r="V251" s="113">
        <v>393.334</v>
      </c>
      <c r="W251" s="113">
        <f t="shared" si="40"/>
        <v>-40570435.43</v>
      </c>
      <c r="X251" s="36" t="s">
        <v>5133</v>
      </c>
      <c r="Y251" t="s">
        <v>25</v>
      </c>
      <c r="AH251" s="20">
        <v>44</v>
      </c>
      <c r="AI251" s="20" t="s">
        <v>4845</v>
      </c>
      <c r="AJ251" s="117">
        <v>160000</v>
      </c>
      <c r="AK251" s="20">
        <v>0</v>
      </c>
      <c r="AL251" s="99">
        <f t="shared" si="48"/>
        <v>161</v>
      </c>
      <c r="AM251" s="20">
        <f t="shared" si="52"/>
        <v>25760000</v>
      </c>
      <c r="AN251" s="99"/>
    </row>
    <row r="252" spans="16:43">
      <c r="Q252" s="99" t="s">
        <v>3683</v>
      </c>
      <c r="R252" s="95">
        <v>8981245</v>
      </c>
      <c r="T252" s="213" t="s">
        <v>5137</v>
      </c>
      <c r="U252" s="213">
        <v>2546</v>
      </c>
      <c r="V252" s="113">
        <v>393</v>
      </c>
      <c r="W252" s="113">
        <f t="shared" si="40"/>
        <v>1000578</v>
      </c>
      <c r="X252" s="36" t="s">
        <v>452</v>
      </c>
      <c r="AH252" s="149">
        <v>45</v>
      </c>
      <c r="AI252" s="149" t="s">
        <v>4845</v>
      </c>
      <c r="AJ252" s="188">
        <v>70000</v>
      </c>
      <c r="AK252" s="149">
        <v>9</v>
      </c>
      <c r="AL252" s="149">
        <f t="shared" si="48"/>
        <v>161</v>
      </c>
      <c r="AM252" s="149">
        <f t="shared" si="52"/>
        <v>11270000</v>
      </c>
      <c r="AN252" s="149"/>
    </row>
    <row r="253" spans="16:43">
      <c r="Q253" s="99" t="s">
        <v>4720</v>
      </c>
      <c r="R253" s="95">
        <v>9181756</v>
      </c>
      <c r="T253" s="213" t="s">
        <v>5138</v>
      </c>
      <c r="U253" s="213">
        <v>1034</v>
      </c>
      <c r="V253" s="113">
        <v>386.608</v>
      </c>
      <c r="W253" s="113">
        <f t="shared" si="40"/>
        <v>399752.67200000002</v>
      </c>
      <c r="X253" s="36" t="s">
        <v>452</v>
      </c>
      <c r="AH253" s="20">
        <v>46</v>
      </c>
      <c r="AI253" s="20" t="s">
        <v>4852</v>
      </c>
      <c r="AJ253" s="117">
        <v>850000</v>
      </c>
      <c r="AK253" s="20">
        <v>0</v>
      </c>
      <c r="AL253" s="99">
        <f t="shared" si="48"/>
        <v>152</v>
      </c>
      <c r="AM253" s="20">
        <f t="shared" si="52"/>
        <v>129200000</v>
      </c>
      <c r="AN253" s="99"/>
      <c r="AQ253" t="s">
        <v>25</v>
      </c>
    </row>
    <row r="254" spans="16:43">
      <c r="Q254" s="99" t="s">
        <v>4724</v>
      </c>
      <c r="R254" s="95">
        <v>11811208</v>
      </c>
      <c r="T254" s="213" t="s">
        <v>5149</v>
      </c>
      <c r="U254" s="213">
        <v>300</v>
      </c>
      <c r="V254" s="113">
        <v>400</v>
      </c>
      <c r="W254" s="113">
        <f t="shared" si="40"/>
        <v>120000</v>
      </c>
      <c r="X254" s="36" t="s">
        <v>452</v>
      </c>
      <c r="AH254" s="195">
        <v>47</v>
      </c>
      <c r="AI254" s="195" t="s">
        <v>4852</v>
      </c>
      <c r="AJ254" s="196">
        <v>20000</v>
      </c>
      <c r="AK254" s="195">
        <v>4</v>
      </c>
      <c r="AL254" s="195">
        <f t="shared" ref="AL254:AL262" si="53">AK254+AL255</f>
        <v>152</v>
      </c>
      <c r="AM254" s="195">
        <f t="shared" ref="AM254:AM262" si="54">AJ254*AL254</f>
        <v>3040000</v>
      </c>
      <c r="AN254" s="195"/>
    </row>
    <row r="255" spans="16:43">
      <c r="Q255" s="99" t="s">
        <v>4738</v>
      </c>
      <c r="R255" s="95">
        <v>41248054</v>
      </c>
      <c r="T255" s="213" t="s">
        <v>5166</v>
      </c>
      <c r="U255" s="213">
        <v>782</v>
      </c>
      <c r="V255" s="113">
        <v>409</v>
      </c>
      <c r="W255" s="113">
        <f t="shared" si="40"/>
        <v>319838</v>
      </c>
      <c r="X255" s="36" t="s">
        <v>751</v>
      </c>
      <c r="AH255" s="195">
        <v>48</v>
      </c>
      <c r="AI255" s="195" t="s">
        <v>4865</v>
      </c>
      <c r="AJ255" s="196">
        <v>30000000</v>
      </c>
      <c r="AK255" s="195">
        <v>27</v>
      </c>
      <c r="AL255" s="195">
        <f t="shared" si="53"/>
        <v>148</v>
      </c>
      <c r="AM255" s="195">
        <f t="shared" si="54"/>
        <v>4440000000</v>
      </c>
      <c r="AN255" s="195" t="s">
        <v>4866</v>
      </c>
    </row>
    <row r="256" spans="16:43">
      <c r="Q256" s="99" t="s">
        <v>4746</v>
      </c>
      <c r="R256" s="95">
        <v>37328780</v>
      </c>
      <c r="T256" s="213" t="s">
        <v>5172</v>
      </c>
      <c r="U256" s="213">
        <v>1220</v>
      </c>
      <c r="V256" s="113">
        <v>409.9</v>
      </c>
      <c r="W256" s="113">
        <f t="shared" si="40"/>
        <v>500078</v>
      </c>
      <c r="X256" s="36" t="s">
        <v>751</v>
      </c>
      <c r="AH256" s="20">
        <v>49</v>
      </c>
      <c r="AI256" s="20" t="s">
        <v>4943</v>
      </c>
      <c r="AJ256" s="117">
        <v>1100000</v>
      </c>
      <c r="AK256" s="20">
        <v>1</v>
      </c>
      <c r="AL256" s="20">
        <f t="shared" si="53"/>
        <v>121</v>
      </c>
      <c r="AM256" s="20">
        <f t="shared" si="54"/>
        <v>133100000</v>
      </c>
      <c r="AN256" s="20"/>
    </row>
    <row r="257" spans="17:45">
      <c r="Q257" s="99" t="s">
        <v>4753</v>
      </c>
      <c r="R257" s="95">
        <v>50000000</v>
      </c>
      <c r="T257" s="213" t="s">
        <v>5175</v>
      </c>
      <c r="U257" s="213">
        <v>1285</v>
      </c>
      <c r="V257" s="113">
        <v>388.84</v>
      </c>
      <c r="W257" s="113">
        <f t="shared" si="40"/>
        <v>499659.39999999997</v>
      </c>
      <c r="X257" s="36" t="s">
        <v>452</v>
      </c>
      <c r="AH257" s="20">
        <v>50</v>
      </c>
      <c r="AI257" s="20" t="s">
        <v>4945</v>
      </c>
      <c r="AJ257" s="117">
        <v>450000</v>
      </c>
      <c r="AK257" s="20">
        <v>0</v>
      </c>
      <c r="AL257" s="20">
        <f t="shared" si="53"/>
        <v>120</v>
      </c>
      <c r="AM257" s="20">
        <f t="shared" si="54"/>
        <v>54000000</v>
      </c>
      <c r="AN257" s="20"/>
    </row>
    <row r="258" spans="17:45">
      <c r="Q258" s="99" t="s">
        <v>4817</v>
      </c>
      <c r="R258" s="95">
        <v>68656</v>
      </c>
      <c r="T258" s="213" t="s">
        <v>5156</v>
      </c>
      <c r="U258" s="213">
        <v>1924</v>
      </c>
      <c r="V258" s="113">
        <v>386.69600000000003</v>
      </c>
      <c r="W258" s="113">
        <f t="shared" si="40"/>
        <v>744003.10400000005</v>
      </c>
      <c r="X258" s="36" t="s">
        <v>452</v>
      </c>
      <c r="Z258" t="s">
        <v>25</v>
      </c>
      <c r="AH258" s="149">
        <v>51</v>
      </c>
      <c r="AI258" s="149" t="s">
        <v>4945</v>
      </c>
      <c r="AJ258" s="188">
        <v>550000</v>
      </c>
      <c r="AK258" s="149">
        <v>1</v>
      </c>
      <c r="AL258" s="149">
        <f t="shared" si="53"/>
        <v>120</v>
      </c>
      <c r="AM258" s="149">
        <f t="shared" si="54"/>
        <v>66000000</v>
      </c>
      <c r="AN258" s="149"/>
    </row>
    <row r="259" spans="17:45">
      <c r="Q259" s="99" t="s">
        <v>4831</v>
      </c>
      <c r="R259" s="95">
        <v>4000236</v>
      </c>
      <c r="T259" s="213" t="s">
        <v>5192</v>
      </c>
      <c r="U259" s="213">
        <v>165</v>
      </c>
      <c r="V259" s="113">
        <v>393.5</v>
      </c>
      <c r="W259" s="113">
        <f t="shared" si="40"/>
        <v>64927.5</v>
      </c>
      <c r="X259" s="36" t="s">
        <v>452</v>
      </c>
      <c r="AH259" s="149">
        <v>52</v>
      </c>
      <c r="AI259" s="149" t="s">
        <v>4947</v>
      </c>
      <c r="AJ259" s="188">
        <v>1000000</v>
      </c>
      <c r="AK259" s="149">
        <v>8</v>
      </c>
      <c r="AL259" s="149">
        <f t="shared" si="53"/>
        <v>119</v>
      </c>
      <c r="AM259" s="149">
        <f t="shared" si="54"/>
        <v>119000000</v>
      </c>
      <c r="AN259" s="149"/>
    </row>
    <row r="260" spans="17:45" ht="30">
      <c r="Q260" s="99" t="s">
        <v>4831</v>
      </c>
      <c r="R260" s="95">
        <v>2250000</v>
      </c>
      <c r="T260" s="213" t="s">
        <v>5202</v>
      </c>
      <c r="U260" s="213">
        <v>-34859</v>
      </c>
      <c r="V260" s="113">
        <v>403.1585</v>
      </c>
      <c r="W260" s="113">
        <f t="shared" si="40"/>
        <v>-14053702.1515</v>
      </c>
      <c r="X260" s="36" t="s">
        <v>5208</v>
      </c>
      <c r="AH260" s="20">
        <v>53</v>
      </c>
      <c r="AI260" s="20" t="s">
        <v>4957</v>
      </c>
      <c r="AJ260" s="117">
        <v>-2668880</v>
      </c>
      <c r="AK260" s="20">
        <v>0</v>
      </c>
      <c r="AL260" s="20">
        <f t="shared" si="53"/>
        <v>111</v>
      </c>
      <c r="AM260" s="20">
        <f t="shared" si="54"/>
        <v>-296245680</v>
      </c>
      <c r="AN260" s="20" t="s">
        <v>4959</v>
      </c>
    </row>
    <row r="261" spans="17:45">
      <c r="Q261" s="99" t="s">
        <v>4836</v>
      </c>
      <c r="R261" s="95">
        <v>-2512200</v>
      </c>
      <c r="T261" s="213"/>
      <c r="U261" s="213"/>
      <c r="V261" s="113"/>
      <c r="W261" s="113"/>
      <c r="X261" s="36"/>
      <c r="AH261" s="149">
        <v>54</v>
      </c>
      <c r="AI261" s="149" t="s">
        <v>4957</v>
      </c>
      <c r="AJ261" s="188">
        <v>-1528620</v>
      </c>
      <c r="AK261" s="149">
        <v>0</v>
      </c>
      <c r="AL261" s="149">
        <f t="shared" si="53"/>
        <v>111</v>
      </c>
      <c r="AM261" s="149">
        <f t="shared" si="54"/>
        <v>-169676820</v>
      </c>
      <c r="AN261" s="149" t="s">
        <v>4959</v>
      </c>
    </row>
    <row r="262" spans="17:45">
      <c r="Q262" s="99" t="s">
        <v>4845</v>
      </c>
      <c r="R262" s="95">
        <v>300000</v>
      </c>
      <c r="T262" s="168"/>
      <c r="U262" s="168"/>
      <c r="V262" s="113"/>
      <c r="W262" s="113"/>
      <c r="X262" s="99"/>
      <c r="AH262" s="20">
        <v>55</v>
      </c>
      <c r="AI262" s="20" t="s">
        <v>4957</v>
      </c>
      <c r="AJ262" s="117">
        <v>50000000</v>
      </c>
      <c r="AK262" s="20">
        <v>4</v>
      </c>
      <c r="AL262" s="20">
        <f t="shared" si="53"/>
        <v>111</v>
      </c>
      <c r="AM262" s="20">
        <f t="shared" si="54"/>
        <v>5550000000</v>
      </c>
      <c r="AN262" s="20"/>
    </row>
    <row r="263" spans="17:45">
      <c r="Q263" s="99" t="s">
        <v>980</v>
      </c>
      <c r="R263" s="95">
        <v>1100000</v>
      </c>
      <c r="T263" s="168"/>
      <c r="U263" s="168">
        <f>SUM(U163:U262)</f>
        <v>3568952</v>
      </c>
      <c r="V263" s="99"/>
      <c r="W263" s="99"/>
      <c r="X263" s="99"/>
      <c r="AH263" s="20">
        <v>56</v>
      </c>
      <c r="AI263" s="20" t="s">
        <v>4963</v>
      </c>
      <c r="AJ263" s="117">
        <v>400000</v>
      </c>
      <c r="AK263" s="20">
        <v>4</v>
      </c>
      <c r="AL263" s="20">
        <f t="shared" ref="AL263:AL272" si="55">AK263+AL264</f>
        <v>107</v>
      </c>
      <c r="AM263" s="20">
        <f t="shared" ref="AM263:AM272" si="56">AJ263*AL263</f>
        <v>42800000</v>
      </c>
      <c r="AN263" s="20"/>
    </row>
    <row r="264" spans="17:45">
      <c r="Q264" s="99" t="s">
        <v>4852</v>
      </c>
      <c r="R264" s="95">
        <v>890000</v>
      </c>
      <c r="T264" s="99"/>
      <c r="U264" s="99" t="s">
        <v>6</v>
      </c>
      <c r="V264" s="99"/>
      <c r="W264" s="99"/>
      <c r="X264" s="99"/>
      <c r="AH264" s="20">
        <v>57</v>
      </c>
      <c r="AI264" s="20" t="s">
        <v>4975</v>
      </c>
      <c r="AJ264" s="117">
        <v>2000000</v>
      </c>
      <c r="AK264" s="20">
        <v>3</v>
      </c>
      <c r="AL264" s="20">
        <f t="shared" si="55"/>
        <v>103</v>
      </c>
      <c r="AM264" s="20">
        <f t="shared" si="56"/>
        <v>206000000</v>
      </c>
      <c r="AN264" s="20"/>
    </row>
    <row r="265" spans="17:45">
      <c r="Q265" s="99" t="s">
        <v>4872</v>
      </c>
      <c r="R265" s="95">
        <v>1000000</v>
      </c>
      <c r="T265" s="200" t="s">
        <v>4481</v>
      </c>
      <c r="AH265" s="20">
        <v>58</v>
      </c>
      <c r="AI265" s="20" t="s">
        <v>4978</v>
      </c>
      <c r="AJ265" s="117">
        <v>100000</v>
      </c>
      <c r="AK265" s="20">
        <v>4</v>
      </c>
      <c r="AL265" s="20">
        <f t="shared" si="55"/>
        <v>100</v>
      </c>
      <c r="AM265" s="20">
        <f t="shared" si="56"/>
        <v>10000000</v>
      </c>
      <c r="AN265" s="20" t="s">
        <v>3890</v>
      </c>
    </row>
    <row r="266" spans="17:45">
      <c r="Q266" s="99" t="s">
        <v>4873</v>
      </c>
      <c r="R266" s="95">
        <v>45436311</v>
      </c>
      <c r="T266" s="199">
        <f>R176/U263</f>
        <v>414.58796442204886</v>
      </c>
      <c r="AH266" s="20">
        <v>59</v>
      </c>
      <c r="AI266" s="20" t="s">
        <v>4989</v>
      </c>
      <c r="AJ266" s="117">
        <v>100000</v>
      </c>
      <c r="AK266" s="20">
        <v>7</v>
      </c>
      <c r="AL266" s="20">
        <f t="shared" si="55"/>
        <v>96</v>
      </c>
      <c r="AM266" s="20">
        <f t="shared" si="56"/>
        <v>9600000</v>
      </c>
      <c r="AN266" s="20"/>
    </row>
    <row r="267" spans="17:45">
      <c r="Q267" s="99" t="s">
        <v>4873</v>
      </c>
      <c r="R267" s="95">
        <v>-3500000</v>
      </c>
      <c r="W267" s="114"/>
      <c r="Y267" t="s">
        <v>25</v>
      </c>
      <c r="AH267" s="20">
        <v>60</v>
      </c>
      <c r="AI267" s="20" t="s">
        <v>5006</v>
      </c>
      <c r="AJ267" s="117">
        <v>50000</v>
      </c>
      <c r="AK267" s="20">
        <v>0</v>
      </c>
      <c r="AL267" s="20">
        <f t="shared" si="55"/>
        <v>89</v>
      </c>
      <c r="AM267" s="20">
        <f t="shared" si="56"/>
        <v>4450000</v>
      </c>
      <c r="AN267" s="20"/>
      <c r="AS267" t="s">
        <v>25</v>
      </c>
    </row>
    <row r="268" spans="17:45">
      <c r="Q268" s="99" t="s">
        <v>4887</v>
      </c>
      <c r="R268" s="95">
        <v>2520000</v>
      </c>
      <c r="U268" s="96" t="s">
        <v>267</v>
      </c>
      <c r="V268" t="s">
        <v>4482</v>
      </c>
      <c r="X268" t="s">
        <v>25</v>
      </c>
      <c r="AH268" s="149">
        <v>61</v>
      </c>
      <c r="AI268" s="149" t="s">
        <v>5006</v>
      </c>
      <c r="AJ268" s="188">
        <v>50000</v>
      </c>
      <c r="AK268" s="149">
        <v>3</v>
      </c>
      <c r="AL268" s="149">
        <f t="shared" si="55"/>
        <v>89</v>
      </c>
      <c r="AM268" s="149">
        <f t="shared" si="56"/>
        <v>4450000</v>
      </c>
      <c r="AN268" s="149"/>
    </row>
    <row r="269" spans="17:45">
      <c r="Q269" s="99" t="s">
        <v>4922</v>
      </c>
      <c r="R269" s="95">
        <v>4900000</v>
      </c>
      <c r="T269" s="114"/>
      <c r="U269" s="113">
        <v>4496</v>
      </c>
      <c r="V269">
        <f>U269/T266</f>
        <v>10.844501977445468</v>
      </c>
      <c r="X269" t="s">
        <v>25</v>
      </c>
      <c r="AH269" s="20">
        <v>62</v>
      </c>
      <c r="AI269" s="20" t="s">
        <v>5011</v>
      </c>
      <c r="AJ269" s="117">
        <v>50000</v>
      </c>
      <c r="AK269" s="20">
        <v>0</v>
      </c>
      <c r="AL269" s="20">
        <f t="shared" si="55"/>
        <v>86</v>
      </c>
      <c r="AM269" s="20">
        <f t="shared" si="56"/>
        <v>4300000</v>
      </c>
      <c r="AN269" s="20"/>
    </row>
    <row r="270" spans="17:45">
      <c r="Q270" s="99" t="s">
        <v>4943</v>
      </c>
      <c r="R270" s="95">
        <v>1150000</v>
      </c>
      <c r="X270" t="s">
        <v>25</v>
      </c>
      <c r="AH270" s="195">
        <v>63</v>
      </c>
      <c r="AI270" s="195" t="s">
        <v>5011</v>
      </c>
      <c r="AJ270" s="196">
        <v>50000</v>
      </c>
      <c r="AK270" s="195">
        <v>2</v>
      </c>
      <c r="AL270" s="195">
        <f t="shared" si="55"/>
        <v>86</v>
      </c>
      <c r="AM270" s="195">
        <f t="shared" si="56"/>
        <v>4300000</v>
      </c>
      <c r="AN270" s="195"/>
    </row>
    <row r="271" spans="17:45">
      <c r="Q271" s="99" t="s">
        <v>4894</v>
      </c>
      <c r="R271" s="95">
        <v>250000</v>
      </c>
      <c r="W271" s="223" t="s">
        <v>5094</v>
      </c>
      <c r="X271" s="96">
        <v>20000000</v>
      </c>
      <c r="AH271" s="20">
        <v>64</v>
      </c>
      <c r="AI271" s="20" t="s">
        <v>5020</v>
      </c>
      <c r="AJ271" s="117">
        <v>25000</v>
      </c>
      <c r="AK271" s="20">
        <v>0</v>
      </c>
      <c r="AL271" s="20">
        <f t="shared" si="55"/>
        <v>84</v>
      </c>
      <c r="AM271" s="20">
        <f t="shared" si="56"/>
        <v>2100000</v>
      </c>
      <c r="AN271" s="20"/>
      <c r="AR271" t="s">
        <v>25</v>
      </c>
    </row>
    <row r="272" spans="17:45">
      <c r="Q272" s="99" t="s">
        <v>4984</v>
      </c>
      <c r="R272" s="95">
        <v>1403460</v>
      </c>
      <c r="W272" s="96" t="s">
        <v>5210</v>
      </c>
      <c r="X272">
        <v>-14053702</v>
      </c>
      <c r="AH272" s="149">
        <v>65</v>
      </c>
      <c r="AI272" s="149" t="s">
        <v>5020</v>
      </c>
      <c r="AJ272" s="188">
        <v>35000</v>
      </c>
      <c r="AK272" s="149">
        <v>7</v>
      </c>
      <c r="AL272" s="149">
        <f t="shared" si="55"/>
        <v>84</v>
      </c>
      <c r="AM272" s="149">
        <f t="shared" si="56"/>
        <v>2940000</v>
      </c>
      <c r="AN272" s="149"/>
    </row>
    <row r="273" spans="17:40">
      <c r="Q273" s="99" t="s">
        <v>4989</v>
      </c>
      <c r="R273" s="95">
        <v>200000</v>
      </c>
      <c r="W273" s="96" t="s">
        <v>5211</v>
      </c>
      <c r="X273">
        <v>-4496</v>
      </c>
      <c r="Y273" t="s">
        <v>25</v>
      </c>
      <c r="AH273" s="149">
        <v>66</v>
      </c>
      <c r="AI273" s="149" t="s">
        <v>5031</v>
      </c>
      <c r="AJ273" s="188">
        <v>30000000</v>
      </c>
      <c r="AK273" s="149">
        <v>0</v>
      </c>
      <c r="AL273" s="149">
        <f t="shared" ref="AL273:AL292" si="57">AK273+AL274</f>
        <v>77</v>
      </c>
      <c r="AM273" s="149">
        <f t="shared" ref="AM273:AM292" si="58">AJ273*AL273</f>
        <v>2310000000</v>
      </c>
      <c r="AN273" s="149"/>
    </row>
    <row r="274" spans="17:40" ht="60">
      <c r="Q274" s="99" t="s">
        <v>4996</v>
      </c>
      <c r="R274" s="95">
        <v>345000</v>
      </c>
      <c r="T274" s="22" t="s">
        <v>4465</v>
      </c>
      <c r="V274" s="223"/>
      <c r="W274" s="96" t="s">
        <v>5214</v>
      </c>
      <c r="X274">
        <v>-50000</v>
      </c>
      <c r="Y274" t="s">
        <v>25</v>
      </c>
      <c r="AH274" s="20">
        <v>67</v>
      </c>
      <c r="AI274" s="20" t="s">
        <v>5031</v>
      </c>
      <c r="AJ274" s="117">
        <v>6800000</v>
      </c>
      <c r="AK274" s="20">
        <v>1</v>
      </c>
      <c r="AL274" s="20">
        <f t="shared" si="57"/>
        <v>77</v>
      </c>
      <c r="AM274" s="20">
        <f t="shared" si="58"/>
        <v>523600000</v>
      </c>
      <c r="AN274" s="20"/>
    </row>
    <row r="275" spans="17:40" ht="45">
      <c r="Q275" s="99" t="s">
        <v>5002</v>
      </c>
      <c r="R275" s="95">
        <v>900000</v>
      </c>
      <c r="T275" s="22" t="s">
        <v>4466</v>
      </c>
      <c r="AH275" s="20">
        <v>68</v>
      </c>
      <c r="AI275" s="20" t="s">
        <v>5039</v>
      </c>
      <c r="AJ275" s="117">
        <v>500000</v>
      </c>
      <c r="AK275" s="20">
        <v>1</v>
      </c>
      <c r="AL275" s="20">
        <f t="shared" si="57"/>
        <v>76</v>
      </c>
      <c r="AM275" s="20">
        <f t="shared" si="58"/>
        <v>38000000</v>
      </c>
      <c r="AN275" s="20"/>
    </row>
    <row r="276" spans="17:40">
      <c r="Q276" s="99" t="s">
        <v>5006</v>
      </c>
      <c r="R276" s="95">
        <v>372517</v>
      </c>
      <c r="AH276" s="20">
        <v>69</v>
      </c>
      <c r="AI276" s="20" t="s">
        <v>5047</v>
      </c>
      <c r="AJ276" s="117">
        <v>850000</v>
      </c>
      <c r="AK276" s="20">
        <v>5</v>
      </c>
      <c r="AL276" s="20">
        <f t="shared" si="57"/>
        <v>75</v>
      </c>
      <c r="AM276" s="20">
        <f t="shared" si="58"/>
        <v>63750000</v>
      </c>
      <c r="AN276" s="20"/>
    </row>
    <row r="277" spans="17:40">
      <c r="Q277" s="99" t="s">
        <v>5017</v>
      </c>
      <c r="R277" s="95">
        <v>6489257</v>
      </c>
      <c r="AH277" s="20">
        <v>70</v>
      </c>
      <c r="AI277" s="20" t="s">
        <v>5057</v>
      </c>
      <c r="AJ277" s="117">
        <v>1130250</v>
      </c>
      <c r="AK277" s="20">
        <v>0</v>
      </c>
      <c r="AL277" s="20">
        <f t="shared" si="57"/>
        <v>70</v>
      </c>
      <c r="AM277" s="20">
        <f t="shared" si="58"/>
        <v>79117500</v>
      </c>
      <c r="AN277" s="20"/>
    </row>
    <row r="278" spans="17:40">
      <c r="Q278" s="99" t="s">
        <v>5073</v>
      </c>
      <c r="R278" s="95">
        <v>618000</v>
      </c>
      <c r="S278" s="114"/>
      <c r="T278" s="99" t="s">
        <v>4483</v>
      </c>
      <c r="U278" s="99" t="s">
        <v>4454</v>
      </c>
      <c r="V278" s="99" t="s">
        <v>952</v>
      </c>
      <c r="AH278" s="261">
        <v>71</v>
      </c>
      <c r="AI278" s="261" t="s">
        <v>5057</v>
      </c>
      <c r="AJ278" s="252">
        <v>30000</v>
      </c>
      <c r="AK278" s="261">
        <v>5</v>
      </c>
      <c r="AL278" s="261">
        <f t="shared" si="57"/>
        <v>70</v>
      </c>
      <c r="AM278" s="261">
        <f t="shared" si="58"/>
        <v>2100000</v>
      </c>
      <c r="AN278" s="261"/>
    </row>
    <row r="279" spans="17:40">
      <c r="Q279" s="99" t="s">
        <v>5087</v>
      </c>
      <c r="R279" s="95">
        <v>20105000</v>
      </c>
      <c r="T279" s="95">
        <f>S196+R234+R294</f>
        <v>882488334</v>
      </c>
      <c r="U279" s="95">
        <f>R176</f>
        <v>1479644544.8000002</v>
      </c>
      <c r="V279" s="95">
        <f>U279-T279</f>
        <v>597156210.80000019</v>
      </c>
      <c r="AH279" s="20">
        <v>72</v>
      </c>
      <c r="AI279" s="20" t="s">
        <v>5073</v>
      </c>
      <c r="AJ279" s="117">
        <v>206000</v>
      </c>
      <c r="AK279" s="20">
        <v>0</v>
      </c>
      <c r="AL279" s="20">
        <f t="shared" si="57"/>
        <v>65</v>
      </c>
      <c r="AM279" s="20">
        <f t="shared" si="58"/>
        <v>13390000</v>
      </c>
      <c r="AN279" s="20"/>
    </row>
    <row r="280" spans="17:40">
      <c r="Q280" s="99" t="s">
        <v>5092</v>
      </c>
      <c r="R280" s="95">
        <v>-21079990</v>
      </c>
      <c r="AH280" s="149">
        <v>73</v>
      </c>
      <c r="AI280" s="149" t="s">
        <v>5073</v>
      </c>
      <c r="AJ280" s="188">
        <v>206000</v>
      </c>
      <c r="AK280" s="149">
        <v>2</v>
      </c>
      <c r="AL280" s="149">
        <f t="shared" si="57"/>
        <v>65</v>
      </c>
      <c r="AM280" s="149">
        <f t="shared" si="58"/>
        <v>13390000</v>
      </c>
      <c r="AN280" s="149"/>
    </row>
    <row r="281" spans="17:40">
      <c r="Q281" s="99" t="s">
        <v>5095</v>
      </c>
      <c r="R281" s="95">
        <v>-5949277</v>
      </c>
      <c r="AH281" s="20">
        <v>74</v>
      </c>
      <c r="AI281" s="20" t="s">
        <v>5080</v>
      </c>
      <c r="AJ281" s="117">
        <v>50000</v>
      </c>
      <c r="AK281" s="20">
        <v>0</v>
      </c>
      <c r="AL281" s="20">
        <f t="shared" si="57"/>
        <v>63</v>
      </c>
      <c r="AM281" s="20">
        <f t="shared" si="58"/>
        <v>3150000</v>
      </c>
      <c r="AN281" s="20"/>
    </row>
    <row r="282" spans="17:40">
      <c r="Q282" s="99" t="s">
        <v>5104</v>
      </c>
      <c r="R282" s="95">
        <v>-15370656</v>
      </c>
      <c r="AH282" s="261">
        <v>75</v>
      </c>
      <c r="AI282" s="261" t="s">
        <v>5080</v>
      </c>
      <c r="AJ282" s="252">
        <v>50000</v>
      </c>
      <c r="AK282" s="261">
        <v>2</v>
      </c>
      <c r="AL282" s="261">
        <f t="shared" si="57"/>
        <v>63</v>
      </c>
      <c r="AM282" s="261">
        <f t="shared" si="58"/>
        <v>3150000</v>
      </c>
      <c r="AN282" s="261"/>
    </row>
    <row r="283" spans="17:40">
      <c r="Q283" s="99" t="s">
        <v>5111</v>
      </c>
      <c r="R283" s="95">
        <v>4960000</v>
      </c>
      <c r="AH283" s="20">
        <v>76</v>
      </c>
      <c r="AI283" s="20" t="s">
        <v>5087</v>
      </c>
      <c r="AJ283" s="117">
        <v>20000000</v>
      </c>
      <c r="AK283" s="20">
        <v>7</v>
      </c>
      <c r="AL283" s="20">
        <f t="shared" si="57"/>
        <v>61</v>
      </c>
      <c r="AM283" s="20">
        <f t="shared" si="58"/>
        <v>1220000000</v>
      </c>
      <c r="AN283" s="20" t="s">
        <v>5088</v>
      </c>
    </row>
    <row r="284" spans="17:40">
      <c r="Q284" s="99" t="s">
        <v>5111</v>
      </c>
      <c r="R284" s="95">
        <v>10000000</v>
      </c>
      <c r="T284" t="s">
        <v>25</v>
      </c>
      <c r="AH284" s="20">
        <v>77</v>
      </c>
      <c r="AI284" s="20" t="s">
        <v>5104</v>
      </c>
      <c r="AJ284" s="117">
        <v>50000</v>
      </c>
      <c r="AK284" s="20">
        <v>0</v>
      </c>
      <c r="AL284" s="20">
        <f t="shared" si="57"/>
        <v>54</v>
      </c>
      <c r="AM284" s="20">
        <f t="shared" si="58"/>
        <v>2700000</v>
      </c>
      <c r="AN284" s="20"/>
    </row>
    <row r="285" spans="17:40">
      <c r="Q285" s="99" t="s">
        <v>5120</v>
      </c>
      <c r="R285" s="95">
        <v>-40570100</v>
      </c>
      <c r="T285" t="s">
        <v>25</v>
      </c>
      <c r="AH285" s="149">
        <v>78</v>
      </c>
      <c r="AI285" s="149" t="s">
        <v>5104</v>
      </c>
      <c r="AJ285" s="188">
        <v>50000</v>
      </c>
      <c r="AK285" s="149">
        <v>7</v>
      </c>
      <c r="AL285" s="149">
        <f t="shared" si="57"/>
        <v>54</v>
      </c>
      <c r="AM285" s="149">
        <f t="shared" si="58"/>
        <v>2700000</v>
      </c>
      <c r="AN285" s="149"/>
    </row>
    <row r="286" spans="17:40">
      <c r="Q286" s="99" t="s">
        <v>5137</v>
      </c>
      <c r="R286" s="95">
        <v>1000000</v>
      </c>
      <c r="AH286" s="20">
        <v>79</v>
      </c>
      <c r="AI286" s="20" t="s">
        <v>5111</v>
      </c>
      <c r="AJ286" s="117">
        <v>2480000</v>
      </c>
      <c r="AK286" s="20">
        <v>0</v>
      </c>
      <c r="AL286" s="20">
        <f t="shared" si="57"/>
        <v>47</v>
      </c>
      <c r="AM286" s="20">
        <f t="shared" si="58"/>
        <v>116560000</v>
      </c>
      <c r="AN286" s="20"/>
    </row>
    <row r="287" spans="17:40">
      <c r="Q287" s="99" t="s">
        <v>5138</v>
      </c>
      <c r="R287" s="95">
        <v>400000</v>
      </c>
      <c r="T287" t="s">
        <v>25</v>
      </c>
      <c r="AH287" s="149">
        <v>80</v>
      </c>
      <c r="AI287" s="149" t="s">
        <v>5111</v>
      </c>
      <c r="AJ287" s="188">
        <v>2480000</v>
      </c>
      <c r="AK287" s="149">
        <v>12</v>
      </c>
      <c r="AL287" s="149">
        <f t="shared" si="57"/>
        <v>47</v>
      </c>
      <c r="AM287" s="149">
        <f t="shared" si="58"/>
        <v>116560000</v>
      </c>
      <c r="AN287" s="149"/>
    </row>
    <row r="288" spans="17:40">
      <c r="Q288" s="99" t="s">
        <v>5149</v>
      </c>
      <c r="R288" s="95">
        <v>120000</v>
      </c>
      <c r="T288" t="s">
        <v>25</v>
      </c>
      <c r="AH288" s="20">
        <v>81</v>
      </c>
      <c r="AI288" s="20" t="s">
        <v>5120</v>
      </c>
      <c r="AJ288" s="117">
        <v>-24159500</v>
      </c>
      <c r="AK288" s="20">
        <v>4</v>
      </c>
      <c r="AL288" s="20">
        <f t="shared" si="57"/>
        <v>35</v>
      </c>
      <c r="AM288" s="20">
        <f t="shared" si="58"/>
        <v>-845582500</v>
      </c>
      <c r="AN288" s="20" t="s">
        <v>5136</v>
      </c>
    </row>
    <row r="289" spans="16:44">
      <c r="Q289" s="99" t="s">
        <v>5175</v>
      </c>
      <c r="R289" s="95">
        <v>500000</v>
      </c>
      <c r="AH289" s="20">
        <v>82</v>
      </c>
      <c r="AI289" s="20" t="s">
        <v>5138</v>
      </c>
      <c r="AJ289" s="117">
        <v>400000</v>
      </c>
      <c r="AK289" s="20">
        <v>3</v>
      </c>
      <c r="AL289" s="20">
        <f t="shared" si="57"/>
        <v>31</v>
      </c>
      <c r="AM289" s="20">
        <f t="shared" si="58"/>
        <v>12400000</v>
      </c>
      <c r="AN289" s="20"/>
    </row>
    <row r="290" spans="16:44">
      <c r="Q290" s="99" t="s">
        <v>5156</v>
      </c>
      <c r="R290" s="95">
        <v>744000</v>
      </c>
      <c r="AH290" s="149">
        <v>83</v>
      </c>
      <c r="AI290" s="149" t="s">
        <v>5149</v>
      </c>
      <c r="AJ290" s="188">
        <v>40000</v>
      </c>
      <c r="AK290" s="149">
        <v>0</v>
      </c>
      <c r="AL290" s="149">
        <f t="shared" si="57"/>
        <v>28</v>
      </c>
      <c r="AM290" s="149">
        <f t="shared" si="58"/>
        <v>1120000</v>
      </c>
      <c r="AN290" s="149"/>
    </row>
    <row r="291" spans="16:44">
      <c r="Q291" s="99" t="s">
        <v>5192</v>
      </c>
      <c r="R291" s="95">
        <v>65000</v>
      </c>
      <c r="T291" t="s">
        <v>25</v>
      </c>
      <c r="AH291" s="20">
        <v>84</v>
      </c>
      <c r="AI291" s="20" t="s">
        <v>5149</v>
      </c>
      <c r="AJ291" s="117">
        <v>40000</v>
      </c>
      <c r="AK291" s="20">
        <v>5</v>
      </c>
      <c r="AL291" s="20">
        <f t="shared" si="57"/>
        <v>28</v>
      </c>
      <c r="AM291" s="20">
        <f t="shared" si="58"/>
        <v>1120000</v>
      </c>
      <c r="AN291" s="20"/>
    </row>
    <row r="292" spans="16:44">
      <c r="Q292" s="99" t="s">
        <v>5202</v>
      </c>
      <c r="R292" s="95">
        <v>-14053702</v>
      </c>
      <c r="T292" t="s">
        <v>25</v>
      </c>
      <c r="AH292" s="20">
        <v>85</v>
      </c>
      <c r="AI292" s="20" t="s">
        <v>5166</v>
      </c>
      <c r="AJ292" s="117">
        <v>200000</v>
      </c>
      <c r="AK292" s="20">
        <v>1</v>
      </c>
      <c r="AL292" s="20">
        <f t="shared" si="57"/>
        <v>23</v>
      </c>
      <c r="AM292" s="20">
        <f t="shared" si="58"/>
        <v>4600000</v>
      </c>
      <c r="AN292" s="20"/>
    </row>
    <row r="293" spans="16:44">
      <c r="Q293" s="99"/>
      <c r="R293" s="95"/>
      <c r="W293" s="96" t="s">
        <v>25</v>
      </c>
      <c r="AH293" s="20">
        <v>86</v>
      </c>
      <c r="AI293" s="20" t="s">
        <v>5172</v>
      </c>
      <c r="AJ293" s="117">
        <v>500000</v>
      </c>
      <c r="AK293" s="20">
        <v>2</v>
      </c>
      <c r="AL293" s="20">
        <f t="shared" ref="AL293:AL317" si="59">AK293+AL294</f>
        <v>22</v>
      </c>
      <c r="AM293" s="20">
        <f t="shared" ref="AM293:AM317" si="60">AJ293*AL293</f>
        <v>11000000</v>
      </c>
      <c r="AN293" s="20"/>
    </row>
    <row r="294" spans="16:44">
      <c r="Q294" s="99"/>
      <c r="R294" s="95">
        <f>SUM(R239:R293)</f>
        <v>373161454</v>
      </c>
      <c r="T294" t="s">
        <v>25</v>
      </c>
      <c r="AH294" s="20">
        <v>87</v>
      </c>
      <c r="AI294" s="20" t="s">
        <v>5175</v>
      </c>
      <c r="AJ294" s="117">
        <v>500000</v>
      </c>
      <c r="AK294" s="20">
        <v>3</v>
      </c>
      <c r="AL294" s="20">
        <f t="shared" si="59"/>
        <v>20</v>
      </c>
      <c r="AM294" s="20">
        <f t="shared" si="60"/>
        <v>10000000</v>
      </c>
      <c r="AN294" s="20"/>
    </row>
    <row r="295" spans="16:44">
      <c r="Q295" s="99"/>
      <c r="R295" s="99" t="s">
        <v>6</v>
      </c>
      <c r="T295" t="s">
        <v>25</v>
      </c>
      <c r="AH295" s="20">
        <v>88</v>
      </c>
      <c r="AI295" s="20" t="s">
        <v>5156</v>
      </c>
      <c r="AJ295" s="117">
        <v>250000</v>
      </c>
      <c r="AK295" s="20">
        <v>0</v>
      </c>
      <c r="AL295" s="20">
        <f t="shared" si="59"/>
        <v>17</v>
      </c>
      <c r="AM295" s="20">
        <f t="shared" si="60"/>
        <v>4250000</v>
      </c>
      <c r="AN295" s="20"/>
    </row>
    <row r="296" spans="16:44">
      <c r="P296" t="s">
        <v>25</v>
      </c>
      <c r="AH296" s="261">
        <v>89</v>
      </c>
      <c r="AI296" s="261" t="s">
        <v>5156</v>
      </c>
      <c r="AJ296" s="252">
        <v>245000</v>
      </c>
      <c r="AK296" s="261">
        <v>16</v>
      </c>
      <c r="AL296" s="261">
        <f t="shared" si="59"/>
        <v>17</v>
      </c>
      <c r="AM296" s="261">
        <f t="shared" si="60"/>
        <v>4165000</v>
      </c>
      <c r="AN296" s="261"/>
    </row>
    <row r="297" spans="16:44">
      <c r="T297" t="s">
        <v>25</v>
      </c>
      <c r="AH297" s="20">
        <v>90</v>
      </c>
      <c r="AI297" s="20" t="s">
        <v>5212</v>
      </c>
      <c r="AJ297" s="117">
        <v>312598</v>
      </c>
      <c r="AK297" s="20">
        <v>1</v>
      </c>
      <c r="AL297" s="20">
        <f t="shared" si="59"/>
        <v>1</v>
      </c>
      <c r="AM297" s="20">
        <f t="shared" si="60"/>
        <v>312598</v>
      </c>
      <c r="AN297" s="20"/>
    </row>
    <row r="298" spans="16:44">
      <c r="T298" t="s">
        <v>25</v>
      </c>
      <c r="AH298" s="20"/>
      <c r="AI298" s="20"/>
      <c r="AJ298" s="117"/>
      <c r="AK298" s="20"/>
      <c r="AL298" s="20">
        <f t="shared" si="59"/>
        <v>0</v>
      </c>
      <c r="AM298" s="20">
        <f t="shared" si="60"/>
        <v>0</v>
      </c>
      <c r="AN298" s="20"/>
    </row>
    <row r="299" spans="16:44">
      <c r="T299" t="s">
        <v>25</v>
      </c>
      <c r="AH299" s="20"/>
      <c r="AI299" s="20"/>
      <c r="AJ299" s="117"/>
      <c r="AK299" s="20"/>
      <c r="AL299" s="20">
        <f t="shared" si="59"/>
        <v>0</v>
      </c>
      <c r="AM299" s="20">
        <f t="shared" si="60"/>
        <v>0</v>
      </c>
      <c r="AN299" s="20"/>
    </row>
    <row r="300" spans="16:44">
      <c r="T300" t="s">
        <v>25</v>
      </c>
      <c r="AH300" s="20"/>
      <c r="AI300" s="20"/>
      <c r="AJ300" s="117"/>
      <c r="AK300" s="20"/>
      <c r="AL300" s="20">
        <f t="shared" si="59"/>
        <v>0</v>
      </c>
      <c r="AM300" s="20">
        <f t="shared" si="60"/>
        <v>0</v>
      </c>
      <c r="AN300" s="20"/>
      <c r="AR300" t="s">
        <v>25</v>
      </c>
    </row>
    <row r="301" spans="16:44">
      <c r="T301" t="s">
        <v>25</v>
      </c>
      <c r="AH301" s="20"/>
      <c r="AI301" s="20"/>
      <c r="AJ301" s="117"/>
      <c r="AK301" s="20"/>
      <c r="AL301" s="20">
        <f t="shared" si="59"/>
        <v>0</v>
      </c>
      <c r="AM301" s="20">
        <f t="shared" si="60"/>
        <v>0</v>
      </c>
      <c r="AN301" s="20"/>
    </row>
    <row r="302" spans="16:44">
      <c r="AH302" s="20"/>
      <c r="AI302" s="20"/>
      <c r="AJ302" s="117"/>
      <c r="AK302" s="20"/>
      <c r="AL302" s="20">
        <f t="shared" si="59"/>
        <v>0</v>
      </c>
      <c r="AM302" s="20">
        <f t="shared" si="60"/>
        <v>0</v>
      </c>
      <c r="AN302" s="20"/>
    </row>
    <row r="303" spans="16:44">
      <c r="R303" t="s">
        <v>25</v>
      </c>
      <c r="T303" t="s">
        <v>25</v>
      </c>
      <c r="AH303" s="20"/>
      <c r="AI303" s="20"/>
      <c r="AJ303" s="117"/>
      <c r="AK303" s="20"/>
      <c r="AL303" s="20">
        <f t="shared" si="59"/>
        <v>0</v>
      </c>
      <c r="AM303" s="20">
        <f t="shared" si="60"/>
        <v>0</v>
      </c>
      <c r="AN303" s="20"/>
    </row>
    <row r="304" spans="16:44">
      <c r="AH304" s="20"/>
      <c r="AI304" s="20"/>
      <c r="AJ304" s="117"/>
      <c r="AK304" s="20"/>
      <c r="AL304" s="20">
        <f t="shared" si="59"/>
        <v>0</v>
      </c>
      <c r="AM304" s="20">
        <f t="shared" si="60"/>
        <v>0</v>
      </c>
      <c r="AN304" s="20"/>
    </row>
    <row r="305" spans="34:40">
      <c r="AH305" s="20"/>
      <c r="AI305" s="20"/>
      <c r="AJ305" s="117"/>
      <c r="AK305" s="20"/>
      <c r="AL305" s="20">
        <f t="shared" si="59"/>
        <v>0</v>
      </c>
      <c r="AM305" s="20">
        <f t="shared" si="60"/>
        <v>0</v>
      </c>
      <c r="AN305" s="20"/>
    </row>
    <row r="306" spans="34:40">
      <c r="AH306" s="20"/>
      <c r="AI306" s="20"/>
      <c r="AJ306" s="117"/>
      <c r="AK306" s="20"/>
      <c r="AL306" s="20">
        <f t="shared" si="59"/>
        <v>0</v>
      </c>
      <c r="AM306" s="20">
        <f t="shared" si="60"/>
        <v>0</v>
      </c>
      <c r="AN306" s="20"/>
    </row>
    <row r="307" spans="34:40">
      <c r="AH307" s="20"/>
      <c r="AI307" s="20"/>
      <c r="AJ307" s="117"/>
      <c r="AK307" s="20"/>
      <c r="AL307" s="20">
        <f t="shared" si="59"/>
        <v>0</v>
      </c>
      <c r="AM307" s="20">
        <f t="shared" si="60"/>
        <v>0</v>
      </c>
      <c r="AN307" s="20"/>
    </row>
    <row r="308" spans="34:40">
      <c r="AH308" s="20"/>
      <c r="AI308" s="20"/>
      <c r="AJ308" s="117"/>
      <c r="AK308" s="20"/>
      <c r="AL308" s="20">
        <f t="shared" si="59"/>
        <v>0</v>
      </c>
      <c r="AM308" s="20">
        <f t="shared" si="60"/>
        <v>0</v>
      </c>
      <c r="AN308" s="20"/>
    </row>
    <row r="309" spans="34:40">
      <c r="AH309" s="20"/>
      <c r="AI309" s="20"/>
      <c r="AJ309" s="117"/>
      <c r="AK309" s="20"/>
      <c r="AL309" s="20">
        <f t="shared" si="59"/>
        <v>0</v>
      </c>
      <c r="AM309" s="20">
        <f t="shared" si="60"/>
        <v>0</v>
      </c>
      <c r="AN309" s="20"/>
    </row>
    <row r="310" spans="34:40">
      <c r="AH310" s="20"/>
      <c r="AI310" s="20"/>
      <c r="AJ310" s="117"/>
      <c r="AK310" s="20"/>
      <c r="AL310" s="20">
        <f t="shared" si="59"/>
        <v>0</v>
      </c>
      <c r="AM310" s="20">
        <f t="shared" si="60"/>
        <v>0</v>
      </c>
      <c r="AN310" s="20"/>
    </row>
    <row r="311" spans="34:40">
      <c r="AH311" s="20"/>
      <c r="AI311" s="20"/>
      <c r="AJ311" s="117"/>
      <c r="AK311" s="20"/>
      <c r="AL311" s="20">
        <f t="shared" si="59"/>
        <v>0</v>
      </c>
      <c r="AM311" s="20">
        <f t="shared" si="60"/>
        <v>0</v>
      </c>
      <c r="AN311" s="20"/>
    </row>
    <row r="312" spans="34:40">
      <c r="AH312" s="20"/>
      <c r="AI312" s="20"/>
      <c r="AJ312" s="117"/>
      <c r="AK312" s="20"/>
      <c r="AL312" s="20">
        <f t="shared" si="59"/>
        <v>0</v>
      </c>
      <c r="AM312" s="20">
        <f t="shared" si="60"/>
        <v>0</v>
      </c>
      <c r="AN312" s="20"/>
    </row>
    <row r="313" spans="34:40">
      <c r="AH313" s="20"/>
      <c r="AI313" s="20"/>
      <c r="AJ313" s="117"/>
      <c r="AK313" s="20"/>
      <c r="AL313" s="20">
        <f t="shared" si="59"/>
        <v>0</v>
      </c>
      <c r="AM313" s="20">
        <f t="shared" si="60"/>
        <v>0</v>
      </c>
      <c r="AN313" s="20"/>
    </row>
    <row r="314" spans="34:40">
      <c r="AH314" s="20"/>
      <c r="AI314" s="20"/>
      <c r="AJ314" s="117"/>
      <c r="AK314" s="20"/>
      <c r="AL314" s="20">
        <f t="shared" si="59"/>
        <v>0</v>
      </c>
      <c r="AM314" s="20">
        <f t="shared" si="60"/>
        <v>0</v>
      </c>
      <c r="AN314" s="20"/>
    </row>
    <row r="315" spans="34:40">
      <c r="AH315" s="20"/>
      <c r="AI315" s="20"/>
      <c r="AJ315" s="117"/>
      <c r="AK315" s="20"/>
      <c r="AL315" s="20">
        <f t="shared" si="59"/>
        <v>0</v>
      </c>
      <c r="AM315" s="20">
        <f t="shared" si="60"/>
        <v>0</v>
      </c>
      <c r="AN315" s="20"/>
    </row>
    <row r="316" spans="34:40">
      <c r="AH316" s="99"/>
      <c r="AI316" s="99"/>
      <c r="AJ316" s="117"/>
      <c r="AK316" s="99"/>
      <c r="AL316" s="20">
        <f t="shared" si="59"/>
        <v>0</v>
      </c>
      <c r="AM316" s="20">
        <f t="shared" si="60"/>
        <v>0</v>
      </c>
      <c r="AN316" s="20"/>
    </row>
    <row r="317" spans="34:40">
      <c r="AH317" s="99"/>
      <c r="AI317" s="99"/>
      <c r="AJ317" s="117"/>
      <c r="AK317" s="99"/>
      <c r="AL317" s="20">
        <f t="shared" si="59"/>
        <v>0</v>
      </c>
      <c r="AM317" s="20">
        <f t="shared" si="60"/>
        <v>0</v>
      </c>
      <c r="AN317" s="99"/>
    </row>
    <row r="318" spans="34:40">
      <c r="AH318" s="99"/>
      <c r="AI318" s="99"/>
      <c r="AJ318" s="95">
        <f>SUM(AJ208:AJ317)</f>
        <v>401489946</v>
      </c>
      <c r="AK318" s="99"/>
      <c r="AL318" s="99"/>
      <c r="AM318" s="99">
        <f>SUM(AM208:AM317)</f>
        <v>68547759175</v>
      </c>
      <c r="AN318" s="95">
        <f>AM318*AN194/31</f>
        <v>36854371.037733071</v>
      </c>
    </row>
    <row r="319" spans="34:40">
      <c r="AJ319" t="s">
        <v>4058</v>
      </c>
      <c r="AM319" t="s">
        <v>284</v>
      </c>
      <c r="AN319" t="s">
        <v>942</v>
      </c>
    </row>
    <row r="321" spans="35:40">
      <c r="AI321" t="s">
        <v>4060</v>
      </c>
      <c r="AJ321" s="114">
        <f>AJ318+AN318</f>
        <v>438344317.03773308</v>
      </c>
    </row>
    <row r="322" spans="35:40">
      <c r="AI322" t="s">
        <v>4063</v>
      </c>
      <c r="AJ322" s="114">
        <f>SUM(N20:N30)</f>
        <v>619571265.79999995</v>
      </c>
    </row>
    <row r="323" spans="35:40">
      <c r="AI323" t="s">
        <v>4135</v>
      </c>
      <c r="AJ323" s="114">
        <f>AJ322-AJ318</f>
        <v>218081319.79999995</v>
      </c>
    </row>
    <row r="324" spans="35:40">
      <c r="AI324" t="s">
        <v>942</v>
      </c>
      <c r="AJ324" s="114">
        <f>AN318</f>
        <v>36854371.037733071</v>
      </c>
    </row>
    <row r="325" spans="35:40">
      <c r="AI325" t="s">
        <v>4064</v>
      </c>
      <c r="AJ325" s="114">
        <f>AJ323-AJ324</f>
        <v>181226948.76226687</v>
      </c>
      <c r="AM325" t="s">
        <v>25</v>
      </c>
      <c r="AN325" t="s">
        <v>25</v>
      </c>
    </row>
    <row r="326" spans="35:40">
      <c r="AN326" t="s">
        <v>25</v>
      </c>
    </row>
    <row r="329" spans="35:40">
      <c r="AN329" t="s">
        <v>25</v>
      </c>
    </row>
    <row r="330" spans="35:40">
      <c r="AN33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28:G132 G134: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01 S32 G119 S109 S118 S68 S124 S126 P25 S105 P23 S4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H152" zoomScale="90" zoomScaleNormal="90" workbookViewId="0">
      <selection activeCell="L182" sqref="L182"/>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5104</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5107</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5137</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v>10000</v>
      </c>
      <c r="Z80" s="99">
        <v>7444</v>
      </c>
      <c r="AA80" s="99">
        <v>2427</v>
      </c>
      <c r="AB80" s="99">
        <f t="shared" si="20"/>
        <v>3.0671611042439224</v>
      </c>
      <c r="AC80" s="99">
        <f t="shared" si="21"/>
        <v>0.97954750419932102</v>
      </c>
      <c r="AD80" s="99"/>
      <c r="AE80" s="99">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99" t="s">
        <v>5192</v>
      </c>
      <c r="Y81" s="99">
        <v>2000</v>
      </c>
      <c r="Z81" s="99">
        <v>747.2</v>
      </c>
      <c r="AA81" s="99">
        <v>242.8</v>
      </c>
      <c r="AB81" s="99">
        <f t="shared" si="20"/>
        <v>3.0774299835255357</v>
      </c>
      <c r="AC81" s="99">
        <f t="shared" si="21"/>
        <v>0.98282703687770245</v>
      </c>
      <c r="AD81" s="99"/>
      <c r="AE81" s="99">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99" t="s">
        <v>4236</v>
      </c>
      <c r="Y82" s="99">
        <v>4000</v>
      </c>
      <c r="Z82" s="99">
        <v>746.4</v>
      </c>
      <c r="AA82" s="99">
        <v>241.7</v>
      </c>
      <c r="AB82" s="99">
        <f>Z82/AA82</f>
        <v>3.0881257757550684</v>
      </c>
      <c r="AC82" s="99">
        <f>AB82/$X$75</f>
        <v>0.98624291111051554</v>
      </c>
      <c r="AD82" s="99"/>
      <c r="AE82" s="99">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5202</v>
      </c>
      <c r="Y83" s="272">
        <v>1000</v>
      </c>
      <c r="Z83" s="272">
        <v>7199</v>
      </c>
      <c r="AA83" s="272">
        <v>2465</v>
      </c>
      <c r="AB83" s="272">
        <f>Z83/AA83</f>
        <v>2.9204868154158214</v>
      </c>
      <c r="AC83" s="272">
        <f>AB83/$X$75</f>
        <v>0.93270469788145938</v>
      </c>
      <c r="AD83" s="272" t="s">
        <v>5203</v>
      </c>
      <c r="AE83" s="272"/>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9"/>
      <c r="Y84" s="99"/>
      <c r="Z84" s="99">
        <v>7407</v>
      </c>
      <c r="AA84" s="99">
        <v>2583</v>
      </c>
      <c r="AB84" s="99">
        <f>Z84/AA84</f>
        <v>2.8675958188153312</v>
      </c>
      <c r="AC84" s="99">
        <f>AB84/$X$75</f>
        <v>0.91581310270475402</v>
      </c>
      <c r="AD84" s="99"/>
      <c r="AE84" s="99"/>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99"/>
      <c r="Y85" s="99"/>
      <c r="Z85" s="99"/>
      <c r="AA85" s="99"/>
      <c r="AB85" s="99"/>
      <c r="AC85" s="99"/>
      <c r="AD85" s="99"/>
      <c r="AE85" s="99" t="s">
        <v>25</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99"/>
      <c r="Y86" s="99"/>
      <c r="Z86" s="99"/>
      <c r="AA86" s="99"/>
      <c r="AB86" s="99"/>
      <c r="AC86" s="99"/>
      <c r="AD86" s="99"/>
      <c r="AE86" s="99"/>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96"/>
      <c r="Y87" s="96"/>
      <c r="Z87" s="96"/>
      <c r="AA87" s="96"/>
      <c r="AB87" s="96"/>
      <c r="AC87" s="96"/>
      <c r="AD87" s="96"/>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AA88" s="96"/>
      <c r="AB88" s="96">
        <f>AB82/AB84</f>
        <v>1.0769041283617309</v>
      </c>
      <c r="AC88" s="96" t="s">
        <v>25</v>
      </c>
      <c r="AD88" s="96" t="s">
        <v>25</v>
      </c>
    </row>
    <row r="89" spans="6:31">
      <c r="I89" s="213"/>
      <c r="J89" s="113">
        <f>L89-L88</f>
        <v>-12175091</v>
      </c>
      <c r="K89" s="213" t="s">
        <v>4865</v>
      </c>
      <c r="L89" s="84">
        <v>680635139</v>
      </c>
      <c r="M89" s="84">
        <v>313005875</v>
      </c>
      <c r="N89" s="113">
        <f t="shared" si="15"/>
        <v>993641014</v>
      </c>
      <c r="O89" s="113">
        <f>M89-M88</f>
        <v>1182704</v>
      </c>
      <c r="P89" s="113">
        <f>N89-N88</f>
        <v>-10992387</v>
      </c>
      <c r="Q89" s="84">
        <v>0</v>
      </c>
      <c r="AA89" s="96"/>
      <c r="AB89" s="96"/>
      <c r="AC89" s="96"/>
      <c r="AD89" s="96" t="s">
        <v>25</v>
      </c>
    </row>
    <row r="90" spans="6:31">
      <c r="I90" s="190" t="s">
        <v>4891</v>
      </c>
      <c r="J90" s="196">
        <f>L90-L89-1000000</f>
        <v>3840350</v>
      </c>
      <c r="K90" s="190" t="s">
        <v>4872</v>
      </c>
      <c r="L90" s="241">
        <v>685475489</v>
      </c>
      <c r="M90" s="241">
        <v>312030960</v>
      </c>
      <c r="N90" s="196">
        <f t="shared" si="15"/>
        <v>997506449</v>
      </c>
      <c r="O90" s="196">
        <f t="shared" ref="O90:O91" si="22">M90-M89</f>
        <v>-974915</v>
      </c>
      <c r="P90" s="196">
        <f>N90-N89-1000000</f>
        <v>2865435</v>
      </c>
      <c r="Q90" s="84">
        <v>1000000</v>
      </c>
      <c r="X90" s="96"/>
      <c r="Y90" s="96"/>
      <c r="Z90" s="96"/>
      <c r="AA90" s="96"/>
      <c r="AB90" s="96"/>
      <c r="AC90" s="96"/>
      <c r="AD90" s="96"/>
      <c r="AE90" t="s">
        <v>25</v>
      </c>
    </row>
    <row r="91" spans="6:31">
      <c r="I91" s="213"/>
      <c r="J91" s="113">
        <f t="shared" ref="J91:J141" si="23">L91-L90</f>
        <v>-12127865</v>
      </c>
      <c r="K91" s="213" t="s">
        <v>4873</v>
      </c>
      <c r="L91" s="84">
        <v>673347624</v>
      </c>
      <c r="M91" s="84">
        <v>308820785</v>
      </c>
      <c r="N91" s="113">
        <f t="shared" si="15"/>
        <v>982168409</v>
      </c>
      <c r="O91" s="113">
        <f t="shared" si="22"/>
        <v>-3210175</v>
      </c>
      <c r="P91" s="113">
        <f t="shared" ref="P91" si="24">N91-N90</f>
        <v>-15338040</v>
      </c>
      <c r="Q91" s="84">
        <v>0</v>
      </c>
      <c r="X91" s="96"/>
      <c r="Y91" s="96"/>
      <c r="Z91" s="96" t="s">
        <v>4642</v>
      </c>
      <c r="AA91" s="96"/>
      <c r="AB91" s="96"/>
      <c r="AC91" s="96"/>
      <c r="AD91" s="96" t="s">
        <v>25</v>
      </c>
    </row>
    <row r="92" spans="6:31">
      <c r="I92" s="213"/>
      <c r="J92" s="113">
        <f t="shared" si="23"/>
        <v>11765514</v>
      </c>
      <c r="K92" s="213" t="s">
        <v>4882</v>
      </c>
      <c r="L92" s="84">
        <v>685113138</v>
      </c>
      <c r="M92" s="84">
        <v>311743933</v>
      </c>
      <c r="N92" s="113">
        <f t="shared" ref="N92:N97" si="25">L92+M92</f>
        <v>996857071</v>
      </c>
      <c r="O92" s="113">
        <f t="shared" ref="O92:O97" si="26">M92-M91</f>
        <v>2923148</v>
      </c>
      <c r="P92" s="113">
        <f t="shared" ref="P92:P97" si="27">N92-N91</f>
        <v>14688662</v>
      </c>
      <c r="Q92" s="84">
        <v>0</v>
      </c>
      <c r="X92" s="96"/>
      <c r="Y92" s="96"/>
      <c r="Z92" s="96" t="s">
        <v>4643</v>
      </c>
      <c r="AA92" s="207">
        <v>35441</v>
      </c>
      <c r="AB92" s="96"/>
      <c r="AC92" s="96"/>
      <c r="AD92" s="96"/>
    </row>
    <row r="93" spans="6:31" ht="90">
      <c r="I93" s="213"/>
      <c r="J93" s="113">
        <f t="shared" si="23"/>
        <v>2886862</v>
      </c>
      <c r="K93" s="213" t="s">
        <v>4883</v>
      </c>
      <c r="L93" s="84">
        <v>688000000</v>
      </c>
      <c r="M93" s="84">
        <v>312500000</v>
      </c>
      <c r="N93" s="113">
        <f t="shared" si="25"/>
        <v>1000500000</v>
      </c>
      <c r="O93" s="113">
        <f t="shared" si="26"/>
        <v>756067</v>
      </c>
      <c r="P93" s="113">
        <f t="shared" si="27"/>
        <v>3642929</v>
      </c>
      <c r="Q93" s="84">
        <v>0</v>
      </c>
      <c r="X93" s="22" t="s">
        <v>4646</v>
      </c>
      <c r="Y93" s="22" t="s">
        <v>4645</v>
      </c>
      <c r="Z93" s="22" t="s">
        <v>4644</v>
      </c>
      <c r="AA93" s="22" t="s">
        <v>4647</v>
      </c>
    </row>
    <row r="94" spans="6:31">
      <c r="I94" s="213"/>
      <c r="J94" s="113">
        <f t="shared" si="23"/>
        <v>10450869</v>
      </c>
      <c r="K94" s="213" t="s">
        <v>4884</v>
      </c>
      <c r="L94" s="84">
        <v>698450869</v>
      </c>
      <c r="M94" s="84">
        <v>316326929</v>
      </c>
      <c r="N94" s="113">
        <f t="shared" si="25"/>
        <v>1014777798</v>
      </c>
      <c r="O94" s="113">
        <f t="shared" si="26"/>
        <v>3826929</v>
      </c>
      <c r="P94" s="113">
        <f t="shared" si="27"/>
        <v>14277798</v>
      </c>
      <c r="Q94" s="84">
        <v>0</v>
      </c>
    </row>
    <row r="95" spans="6:31">
      <c r="I95" s="190" t="s">
        <v>4890</v>
      </c>
      <c r="J95" s="196">
        <f>L95-L94-2520000</f>
        <v>-274657</v>
      </c>
      <c r="K95" s="190" t="s">
        <v>4887</v>
      </c>
      <c r="L95" s="241">
        <v>700696212</v>
      </c>
      <c r="M95" s="241">
        <v>314277518</v>
      </c>
      <c r="N95" s="196">
        <f t="shared" si="25"/>
        <v>1014973730</v>
      </c>
      <c r="O95" s="196">
        <f t="shared" si="26"/>
        <v>-2049411</v>
      </c>
      <c r="P95" s="196">
        <f>N95-N94-2520000</f>
        <v>-2324068</v>
      </c>
      <c r="Q95" s="84">
        <v>2520000</v>
      </c>
      <c r="U95" t="s">
        <v>25</v>
      </c>
    </row>
    <row r="96" spans="6:31">
      <c r="I96" s="213"/>
      <c r="J96" s="113">
        <f t="shared" si="23"/>
        <v>3959605</v>
      </c>
      <c r="K96" s="213" t="s">
        <v>4892</v>
      </c>
      <c r="L96" s="84">
        <v>704655817</v>
      </c>
      <c r="M96" s="84">
        <v>315439070</v>
      </c>
      <c r="N96" s="113">
        <f t="shared" si="25"/>
        <v>1020094887</v>
      </c>
      <c r="O96" s="113">
        <f t="shared" si="26"/>
        <v>1161552</v>
      </c>
      <c r="P96" s="113">
        <f t="shared" si="27"/>
        <v>5121157</v>
      </c>
      <c r="Q96" s="84">
        <v>0</v>
      </c>
    </row>
    <row r="97" spans="9:20">
      <c r="I97" s="213"/>
      <c r="J97" s="113">
        <f t="shared" si="23"/>
        <v>4588822</v>
      </c>
      <c r="K97" s="213" t="s">
        <v>4893</v>
      </c>
      <c r="L97" s="84">
        <v>709244639</v>
      </c>
      <c r="M97" s="84">
        <v>318439707</v>
      </c>
      <c r="N97" s="113">
        <f t="shared" si="25"/>
        <v>1027684346</v>
      </c>
      <c r="O97" s="113">
        <f t="shared" si="26"/>
        <v>3000637</v>
      </c>
      <c r="P97" s="113">
        <f t="shared" si="27"/>
        <v>7589459</v>
      </c>
      <c r="Q97" s="84">
        <v>0</v>
      </c>
    </row>
    <row r="98" spans="9:20">
      <c r="I98" s="213"/>
      <c r="J98" s="113">
        <f t="shared" si="23"/>
        <v>-11230604</v>
      </c>
      <c r="K98" s="213" t="s">
        <v>4895</v>
      </c>
      <c r="L98" s="84">
        <v>698014035</v>
      </c>
      <c r="M98" s="84">
        <v>314823372</v>
      </c>
      <c r="N98" s="113">
        <f t="shared" ref="N98:N110" si="28">L98+M98</f>
        <v>1012837407</v>
      </c>
      <c r="O98" s="113">
        <f t="shared" ref="O98:O109" si="29">M98-M97</f>
        <v>-3616335</v>
      </c>
      <c r="P98" s="113">
        <f t="shared" ref="P98:P109" si="30">N98-N97</f>
        <v>-14846939</v>
      </c>
      <c r="Q98" s="84">
        <v>0</v>
      </c>
    </row>
    <row r="99" spans="9:20">
      <c r="I99" s="213"/>
      <c r="J99" s="113">
        <f t="shared" si="23"/>
        <v>6285999</v>
      </c>
      <c r="K99" s="213" t="s">
        <v>4896</v>
      </c>
      <c r="L99" s="84">
        <v>704300034</v>
      </c>
      <c r="M99" s="84">
        <v>315795916</v>
      </c>
      <c r="N99" s="113">
        <f t="shared" si="28"/>
        <v>1020095950</v>
      </c>
      <c r="O99" s="113">
        <f t="shared" si="29"/>
        <v>972544</v>
      </c>
      <c r="P99" s="113">
        <f t="shared" si="30"/>
        <v>7258543</v>
      </c>
      <c r="Q99" s="84">
        <v>0</v>
      </c>
    </row>
    <row r="100" spans="9:20">
      <c r="I100" s="213"/>
      <c r="J100" s="113">
        <f t="shared" si="23"/>
        <v>17278812</v>
      </c>
      <c r="K100" s="213" t="s">
        <v>4898</v>
      </c>
      <c r="L100" s="84">
        <v>721578846</v>
      </c>
      <c r="M100" s="84">
        <v>322263065</v>
      </c>
      <c r="N100" s="113">
        <f t="shared" si="28"/>
        <v>1043841911</v>
      </c>
      <c r="O100" s="113">
        <f t="shared" si="29"/>
        <v>6467149</v>
      </c>
      <c r="P100" s="113">
        <f t="shared" si="30"/>
        <v>23745961</v>
      </c>
      <c r="Q100" s="84">
        <v>0</v>
      </c>
    </row>
    <row r="101" spans="9:20">
      <c r="I101" s="213"/>
      <c r="J101" s="113">
        <f t="shared" si="23"/>
        <v>287745</v>
      </c>
      <c r="K101" s="213" t="s">
        <v>4899</v>
      </c>
      <c r="L101" s="84">
        <v>721866591</v>
      </c>
      <c r="M101" s="84">
        <v>321203407</v>
      </c>
      <c r="N101" s="113">
        <f t="shared" si="28"/>
        <v>1043069998</v>
      </c>
      <c r="O101" s="113">
        <f t="shared" si="29"/>
        <v>-1059658</v>
      </c>
      <c r="P101" s="113">
        <f t="shared" si="30"/>
        <v>-771913</v>
      </c>
      <c r="Q101" s="84">
        <v>0</v>
      </c>
    </row>
    <row r="102" spans="9:20">
      <c r="I102" s="213"/>
      <c r="J102" s="113">
        <f t="shared" si="23"/>
        <v>-5866591</v>
      </c>
      <c r="K102" s="213" t="s">
        <v>4902</v>
      </c>
      <c r="L102" s="84">
        <v>716000000</v>
      </c>
      <c r="M102" s="84">
        <v>319000000</v>
      </c>
      <c r="N102" s="113">
        <f t="shared" si="28"/>
        <v>1035000000</v>
      </c>
      <c r="O102" s="113">
        <f t="shared" si="29"/>
        <v>-2203407</v>
      </c>
      <c r="P102" s="113">
        <f t="shared" si="30"/>
        <v>-8069998</v>
      </c>
      <c r="Q102" s="84">
        <v>0</v>
      </c>
    </row>
    <row r="103" spans="9:20">
      <c r="I103" s="213"/>
      <c r="J103" s="113">
        <f t="shared" si="23"/>
        <v>288384</v>
      </c>
      <c r="K103" s="213" t="s">
        <v>4901</v>
      </c>
      <c r="L103" s="84">
        <v>716288384</v>
      </c>
      <c r="M103" s="84">
        <v>320388494</v>
      </c>
      <c r="N103" s="113">
        <f t="shared" si="28"/>
        <v>1036676878</v>
      </c>
      <c r="O103" s="113">
        <f t="shared" si="29"/>
        <v>1388494</v>
      </c>
      <c r="P103" s="113">
        <f t="shared" si="30"/>
        <v>1676878</v>
      </c>
      <c r="Q103" s="84">
        <v>0</v>
      </c>
    </row>
    <row r="104" spans="9:20">
      <c r="I104" s="190" t="s">
        <v>4946</v>
      </c>
      <c r="J104" s="196">
        <f>L104-L103-1400000</f>
        <v>-1688384</v>
      </c>
      <c r="K104" s="190" t="s">
        <v>4943</v>
      </c>
      <c r="L104" s="241">
        <v>716000000</v>
      </c>
      <c r="M104" s="241">
        <v>322000000</v>
      </c>
      <c r="N104" s="196">
        <f t="shared" si="28"/>
        <v>1038000000</v>
      </c>
      <c r="O104" s="196">
        <f t="shared" si="29"/>
        <v>1611506</v>
      </c>
      <c r="P104" s="196">
        <f>N104-N103-1400000</f>
        <v>-76878</v>
      </c>
      <c r="Q104" s="84">
        <v>1400000</v>
      </c>
    </row>
    <row r="105" spans="9:20">
      <c r="I105" s="213"/>
      <c r="J105" s="113">
        <f t="shared" si="23"/>
        <v>8529471</v>
      </c>
      <c r="K105" s="213" t="s">
        <v>4945</v>
      </c>
      <c r="L105" s="84">
        <v>724529471</v>
      </c>
      <c r="M105" s="84">
        <v>326836192</v>
      </c>
      <c r="N105" s="113">
        <f t="shared" si="28"/>
        <v>1051365663</v>
      </c>
      <c r="O105" s="113">
        <f t="shared" si="29"/>
        <v>4836192</v>
      </c>
      <c r="P105" s="113">
        <f t="shared" si="30"/>
        <v>13365663</v>
      </c>
      <c r="Q105" s="84">
        <v>0</v>
      </c>
    </row>
    <row r="106" spans="9:20">
      <c r="I106" s="189" t="s">
        <v>4948</v>
      </c>
      <c r="J106" s="188">
        <f>L106-L105-1550000</f>
        <v>16319322</v>
      </c>
      <c r="K106" s="189" t="s">
        <v>4947</v>
      </c>
      <c r="L106" s="239">
        <v>742398793</v>
      </c>
      <c r="M106" s="239">
        <v>333388204</v>
      </c>
      <c r="N106" s="188">
        <f t="shared" si="28"/>
        <v>1075786997</v>
      </c>
      <c r="O106" s="188">
        <f>M106-M105-1550000</f>
        <v>5002012</v>
      </c>
      <c r="P106" s="188">
        <f>N106-N105-3100000</f>
        <v>21321334</v>
      </c>
      <c r="Q106" s="84">
        <v>3100000</v>
      </c>
    </row>
    <row r="107" spans="9:20">
      <c r="I107" s="213"/>
      <c r="J107" s="113">
        <f t="shared" si="23"/>
        <v>7585832</v>
      </c>
      <c r="K107" s="213" t="s">
        <v>4949</v>
      </c>
      <c r="L107" s="84">
        <v>749984625</v>
      </c>
      <c r="M107" s="84">
        <v>336802679</v>
      </c>
      <c r="N107" s="113">
        <f t="shared" si="28"/>
        <v>1086787304</v>
      </c>
      <c r="O107" s="113">
        <f t="shared" si="29"/>
        <v>3414475</v>
      </c>
      <c r="P107" s="113">
        <f t="shared" si="30"/>
        <v>11000307</v>
      </c>
      <c r="Q107" s="84">
        <v>0</v>
      </c>
    </row>
    <row r="108" spans="9:20">
      <c r="I108" s="189" t="s">
        <v>4952</v>
      </c>
      <c r="J108" s="188">
        <f>L108-L107-250000</f>
        <v>9825827</v>
      </c>
      <c r="K108" s="189" t="s">
        <v>4894</v>
      </c>
      <c r="L108" s="239">
        <v>760060452</v>
      </c>
      <c r="M108" s="239">
        <v>342834562</v>
      </c>
      <c r="N108" s="188">
        <f t="shared" si="28"/>
        <v>1102895014</v>
      </c>
      <c r="O108" s="188">
        <f t="shared" si="29"/>
        <v>6031883</v>
      </c>
      <c r="P108" s="188">
        <f>N108-N107-250000</f>
        <v>15857710</v>
      </c>
      <c r="Q108" s="84">
        <v>250000</v>
      </c>
    </row>
    <row r="109" spans="9:20">
      <c r="I109" s="213"/>
      <c r="J109" s="113">
        <f t="shared" si="23"/>
        <v>4204925</v>
      </c>
      <c r="K109" s="213" t="s">
        <v>4953</v>
      </c>
      <c r="L109" s="84">
        <v>764265377</v>
      </c>
      <c r="M109" s="84">
        <v>346850621</v>
      </c>
      <c r="N109" s="117">
        <f t="shared" si="28"/>
        <v>1111115998</v>
      </c>
      <c r="O109" s="113">
        <f t="shared" si="29"/>
        <v>4016059</v>
      </c>
      <c r="P109" s="113">
        <f t="shared" si="30"/>
        <v>8220984</v>
      </c>
      <c r="Q109" s="84">
        <v>0</v>
      </c>
    </row>
    <row r="110" spans="9:20" ht="30">
      <c r="I110" s="248" t="s">
        <v>4960</v>
      </c>
      <c r="J110" s="249">
        <f>L110-L109+48527480</f>
        <v>-4646184</v>
      </c>
      <c r="K110" s="216" t="s">
        <v>4957</v>
      </c>
      <c r="L110" s="250">
        <v>711091713</v>
      </c>
      <c r="M110" s="250">
        <v>365802118</v>
      </c>
      <c r="N110" s="249">
        <f t="shared" si="28"/>
        <v>1076893831</v>
      </c>
      <c r="O110" s="249">
        <f>M110-M109+2668880-50000000</f>
        <v>-28379623</v>
      </c>
      <c r="P110" s="249">
        <f>N110-N109-50000000+48527480+2668880</f>
        <v>-33025807</v>
      </c>
      <c r="Q110" s="84">
        <v>-1196360</v>
      </c>
    </row>
    <row r="111" spans="9:20">
      <c r="I111" s="213"/>
      <c r="J111" s="113">
        <f t="shared" si="23"/>
        <v>12126436</v>
      </c>
      <c r="K111" s="213" t="s">
        <v>4962</v>
      </c>
      <c r="L111" s="84">
        <v>723218149</v>
      </c>
      <c r="M111" s="84">
        <v>378192152</v>
      </c>
      <c r="N111" s="113">
        <f t="shared" ref="N111:N122" si="31">L111+M111</f>
        <v>1101410301</v>
      </c>
      <c r="O111" s="113">
        <f t="shared" ref="O111:O144" si="32">M111-M110</f>
        <v>12390034</v>
      </c>
      <c r="P111" s="113">
        <f t="shared" ref="P111:P141" si="33">N111-N110</f>
        <v>24516470</v>
      </c>
      <c r="Q111" s="84">
        <v>0</v>
      </c>
    </row>
    <row r="112" spans="9:20">
      <c r="I112" s="189" t="s">
        <v>4968</v>
      </c>
      <c r="J112" s="188">
        <f t="shared" si="23"/>
        <v>-11559770</v>
      </c>
      <c r="K112" s="189" t="s">
        <v>4963</v>
      </c>
      <c r="L112" s="239">
        <v>711658379</v>
      </c>
      <c r="M112" s="239">
        <v>375825031</v>
      </c>
      <c r="N112" s="188">
        <f t="shared" si="31"/>
        <v>1087483410</v>
      </c>
      <c r="O112" s="188">
        <f>M112-M111-400000</f>
        <v>-2767121</v>
      </c>
      <c r="P112" s="188">
        <f>N112-N111-400000</f>
        <v>-14326891</v>
      </c>
      <c r="Q112" s="84">
        <v>400000</v>
      </c>
      <c r="T112" t="s">
        <v>25</v>
      </c>
    </row>
    <row r="113" spans="9:19">
      <c r="I113" s="213" t="s">
        <v>4971</v>
      </c>
      <c r="J113" s="113">
        <f t="shared" si="23"/>
        <v>-47970668</v>
      </c>
      <c r="K113" s="213" t="s">
        <v>4970</v>
      </c>
      <c r="L113" s="84">
        <v>663687711</v>
      </c>
      <c r="M113" s="84">
        <v>375638602</v>
      </c>
      <c r="N113" s="113">
        <f t="shared" si="31"/>
        <v>1039326313</v>
      </c>
      <c r="O113" s="113">
        <f t="shared" si="32"/>
        <v>-186429</v>
      </c>
      <c r="P113" s="113">
        <f t="shared" si="33"/>
        <v>-48157097</v>
      </c>
      <c r="Q113" s="84">
        <v>0</v>
      </c>
      <c r="S113" t="s">
        <v>25</v>
      </c>
    </row>
    <row r="114" spans="9:19">
      <c r="I114" s="213"/>
      <c r="J114" s="113">
        <f t="shared" si="23"/>
        <v>9507166</v>
      </c>
      <c r="K114" s="213" t="s">
        <v>4973</v>
      </c>
      <c r="L114" s="84">
        <v>673194877</v>
      </c>
      <c r="M114" s="84">
        <v>380477962</v>
      </c>
      <c r="N114" s="113">
        <f t="shared" si="31"/>
        <v>1053672839</v>
      </c>
      <c r="O114" s="113">
        <f t="shared" si="32"/>
        <v>4839360</v>
      </c>
      <c r="P114" s="113">
        <f t="shared" si="33"/>
        <v>14346526</v>
      </c>
      <c r="Q114" s="84">
        <v>0</v>
      </c>
    </row>
    <row r="115" spans="9:19">
      <c r="I115" s="213"/>
      <c r="J115" s="113">
        <f t="shared" si="23"/>
        <v>351502</v>
      </c>
      <c r="K115" s="213" t="s">
        <v>4974</v>
      </c>
      <c r="L115" s="84">
        <v>673546379</v>
      </c>
      <c r="M115" s="84">
        <v>385390359</v>
      </c>
      <c r="N115" s="113">
        <f t="shared" si="31"/>
        <v>1058936738</v>
      </c>
      <c r="O115" s="113">
        <f t="shared" si="32"/>
        <v>4912397</v>
      </c>
      <c r="P115" s="113">
        <f t="shared" si="33"/>
        <v>5263899</v>
      </c>
      <c r="Q115" s="84">
        <v>0</v>
      </c>
    </row>
    <row r="116" spans="9:19">
      <c r="I116" s="189" t="s">
        <v>4977</v>
      </c>
      <c r="J116" s="188">
        <f t="shared" si="23"/>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3"/>
        <v>-492645</v>
      </c>
      <c r="K117" s="189" t="s">
        <v>4978</v>
      </c>
      <c r="L117" s="239">
        <v>669400000</v>
      </c>
      <c r="M117" s="239">
        <v>385000000</v>
      </c>
      <c r="N117" s="188">
        <f t="shared" si="31"/>
        <v>1054400000</v>
      </c>
      <c r="O117" s="188">
        <f>M117-M116-100000</f>
        <v>1549794</v>
      </c>
      <c r="P117" s="188">
        <f>N117-N116-100000</f>
        <v>1057149</v>
      </c>
      <c r="Q117" s="84">
        <v>100000</v>
      </c>
    </row>
    <row r="118" spans="9:19">
      <c r="I118" s="213"/>
      <c r="J118" s="113">
        <f t="shared" si="23"/>
        <v>7765061</v>
      </c>
      <c r="K118" s="213" t="s">
        <v>4981</v>
      </c>
      <c r="L118" s="84">
        <v>677165061</v>
      </c>
      <c r="M118" s="84">
        <v>392704452</v>
      </c>
      <c r="N118" s="113">
        <f t="shared" si="31"/>
        <v>1069869513</v>
      </c>
      <c r="O118" s="113">
        <f t="shared" si="32"/>
        <v>7704452</v>
      </c>
      <c r="P118" s="113">
        <f t="shared" si="33"/>
        <v>15469513</v>
      </c>
      <c r="Q118" s="84">
        <v>0</v>
      </c>
    </row>
    <row r="119" spans="9:19">
      <c r="I119" s="213"/>
      <c r="J119" s="113">
        <f t="shared" si="23"/>
        <v>7834939</v>
      </c>
      <c r="K119" s="213" t="s">
        <v>4982</v>
      </c>
      <c r="L119" s="84">
        <v>685000000</v>
      </c>
      <c r="M119" s="84">
        <v>395000000</v>
      </c>
      <c r="N119" s="113">
        <f t="shared" si="31"/>
        <v>1080000000</v>
      </c>
      <c r="O119" s="113">
        <f t="shared" si="32"/>
        <v>2295548</v>
      </c>
      <c r="P119" s="113">
        <f t="shared" si="33"/>
        <v>10130487</v>
      </c>
      <c r="Q119" s="84">
        <v>0</v>
      </c>
    </row>
    <row r="120" spans="9:19">
      <c r="I120" s="189" t="s">
        <v>4986</v>
      </c>
      <c r="J120" s="188">
        <f>L120-L119-2100000</f>
        <v>2603523</v>
      </c>
      <c r="K120" s="189" t="s">
        <v>4984</v>
      </c>
      <c r="L120" s="239">
        <v>689703523</v>
      </c>
      <c r="M120" s="239">
        <v>399879880</v>
      </c>
      <c r="N120" s="188">
        <f t="shared" si="31"/>
        <v>1089583403</v>
      </c>
      <c r="O120" s="188">
        <f t="shared" si="32"/>
        <v>4879880</v>
      </c>
      <c r="P120" s="188">
        <f>N120-N119-2100000</f>
        <v>7483403</v>
      </c>
      <c r="Q120" s="84">
        <v>2100000</v>
      </c>
    </row>
    <row r="121" spans="9:19">
      <c r="I121" s="189" t="s">
        <v>4991</v>
      </c>
      <c r="J121" s="188">
        <f>L121-L120-100000</f>
        <v>1223636</v>
      </c>
      <c r="K121" s="189" t="s">
        <v>4989</v>
      </c>
      <c r="L121" s="239">
        <v>691027159</v>
      </c>
      <c r="M121" s="239">
        <v>401920713</v>
      </c>
      <c r="N121" s="188">
        <f t="shared" si="31"/>
        <v>1092947872</v>
      </c>
      <c r="O121" s="188">
        <f>M121-M120-100000</f>
        <v>1940833</v>
      </c>
      <c r="P121" s="188">
        <f>N121-N120-200000</f>
        <v>3164469</v>
      </c>
      <c r="Q121" s="84">
        <v>200000</v>
      </c>
    </row>
    <row r="122" spans="9:19">
      <c r="I122" s="213"/>
      <c r="J122" s="113">
        <f t="shared" si="23"/>
        <v>-3258218</v>
      </c>
      <c r="K122" s="213" t="s">
        <v>4993</v>
      </c>
      <c r="L122" s="84">
        <v>687768941</v>
      </c>
      <c r="M122" s="84">
        <v>400952125</v>
      </c>
      <c r="N122" s="113">
        <f t="shared" si="31"/>
        <v>1088721066</v>
      </c>
      <c r="O122" s="113">
        <f t="shared" si="32"/>
        <v>-968588</v>
      </c>
      <c r="P122" s="113">
        <f t="shared" si="3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4">L124+M124</f>
        <v>1117594183</v>
      </c>
      <c r="O124" s="188">
        <f t="shared" si="3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4"/>
        <v>1107045880</v>
      </c>
      <c r="O126" s="188">
        <f>M126-M125-50000</f>
        <v>-9054573</v>
      </c>
      <c r="P126" s="188">
        <f>N126-N125-5751774</f>
        <v>-27480727</v>
      </c>
      <c r="Q126" s="229">
        <v>5751774</v>
      </c>
    </row>
    <row r="127" spans="9:19">
      <c r="I127" s="251" t="s">
        <v>5025</v>
      </c>
      <c r="J127" s="252">
        <f t="shared" si="23"/>
        <v>9831878</v>
      </c>
      <c r="K127" s="251" t="s">
        <v>5020</v>
      </c>
      <c r="L127" s="253">
        <v>709431725</v>
      </c>
      <c r="M127" s="253">
        <v>415572724</v>
      </c>
      <c r="N127" s="252">
        <f t="shared" si="34"/>
        <v>1125004449</v>
      </c>
      <c r="O127" s="252">
        <f>M127-M126-25000</f>
        <v>8101691</v>
      </c>
      <c r="P127" s="252">
        <f>N127-N126-25000</f>
        <v>17933569</v>
      </c>
      <c r="Q127" s="229">
        <v>25000</v>
      </c>
    </row>
    <row r="128" spans="9:19">
      <c r="I128" s="99"/>
      <c r="J128" s="113">
        <f t="shared" si="23"/>
        <v>3212707</v>
      </c>
      <c r="K128" s="213" t="s">
        <v>5026</v>
      </c>
      <c r="L128" s="84">
        <v>712644432</v>
      </c>
      <c r="M128" s="84">
        <v>416860968</v>
      </c>
      <c r="N128" s="113">
        <f t="shared" si="34"/>
        <v>1129505400</v>
      </c>
      <c r="O128" s="113">
        <f t="shared" si="32"/>
        <v>1288244</v>
      </c>
      <c r="P128" s="113">
        <f t="shared" si="33"/>
        <v>4500951</v>
      </c>
      <c r="Q128" s="229">
        <v>0</v>
      </c>
    </row>
    <row r="129" spans="9:19">
      <c r="I129" s="19"/>
      <c r="J129" s="117">
        <f t="shared" si="23"/>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3"/>
        <v>-9284823</v>
      </c>
      <c r="K130" s="189" t="s">
        <v>5031</v>
      </c>
      <c r="L130" s="239">
        <v>707021594</v>
      </c>
      <c r="M130" s="239">
        <v>420305454</v>
      </c>
      <c r="N130" s="188">
        <f t="shared" si="34"/>
        <v>1127327048</v>
      </c>
      <c r="O130" s="188">
        <f>M130-M129-6800000</f>
        <v>-6262691</v>
      </c>
      <c r="P130" s="188">
        <f>N130-N129-6800000</f>
        <v>-15547514</v>
      </c>
      <c r="Q130" s="229">
        <v>6800000</v>
      </c>
      <c r="S130" t="s">
        <v>25</v>
      </c>
    </row>
    <row r="131" spans="9:19">
      <c r="I131" s="189" t="s">
        <v>5046</v>
      </c>
      <c r="J131" s="188">
        <f t="shared" si="23"/>
        <v>2112595</v>
      </c>
      <c r="K131" s="189" t="s">
        <v>5039</v>
      </c>
      <c r="L131" s="239">
        <v>709134189</v>
      </c>
      <c r="M131" s="239">
        <v>421097153</v>
      </c>
      <c r="N131" s="188">
        <f t="shared" si="34"/>
        <v>1130231342</v>
      </c>
      <c r="O131" s="188">
        <f>M131-M130-500000</f>
        <v>291699</v>
      </c>
      <c r="P131" s="188">
        <f>N131-N130-500000</f>
        <v>2404294</v>
      </c>
      <c r="Q131" s="229">
        <v>500000</v>
      </c>
      <c r="S131" t="s">
        <v>25</v>
      </c>
    </row>
    <row r="132" spans="9:19">
      <c r="I132" s="251" t="s">
        <v>5050</v>
      </c>
      <c r="J132" s="252">
        <f t="shared" si="23"/>
        <v>1064287</v>
      </c>
      <c r="K132" s="251" t="s">
        <v>5047</v>
      </c>
      <c r="L132" s="253">
        <v>710198476</v>
      </c>
      <c r="M132" s="253">
        <v>422434338</v>
      </c>
      <c r="N132" s="252">
        <f t="shared" si="34"/>
        <v>1132632814</v>
      </c>
      <c r="O132" s="252">
        <f>M132-M131-850000</f>
        <v>487185</v>
      </c>
      <c r="P132" s="252">
        <f>N132-N131-850000</f>
        <v>1551472</v>
      </c>
      <c r="Q132" s="229">
        <v>850000</v>
      </c>
    </row>
    <row r="133" spans="9:19">
      <c r="I133" s="213"/>
      <c r="J133" s="113">
        <f t="shared" si="23"/>
        <v>12623812</v>
      </c>
      <c r="K133" s="213" t="s">
        <v>5054</v>
      </c>
      <c r="L133" s="84">
        <v>722822288</v>
      </c>
      <c r="M133" s="84">
        <v>429606125</v>
      </c>
      <c r="N133" s="117">
        <f t="shared" si="34"/>
        <v>1152428413</v>
      </c>
      <c r="O133" s="113">
        <f t="shared" si="32"/>
        <v>7171787</v>
      </c>
      <c r="P133" s="113">
        <f t="shared" si="33"/>
        <v>19795599</v>
      </c>
      <c r="Q133" s="229">
        <v>0</v>
      </c>
    </row>
    <row r="134" spans="9:19">
      <c r="I134" s="213"/>
      <c r="J134" s="113">
        <f t="shared" si="23"/>
        <v>21458282</v>
      </c>
      <c r="K134" s="213" t="s">
        <v>5055</v>
      </c>
      <c r="L134" s="84">
        <v>744280570</v>
      </c>
      <c r="M134" s="84">
        <v>440002399</v>
      </c>
      <c r="N134" s="117">
        <f t="shared" si="34"/>
        <v>1184282969</v>
      </c>
      <c r="O134" s="113">
        <f t="shared" si="32"/>
        <v>10396274</v>
      </c>
      <c r="P134" s="113">
        <f t="shared" si="33"/>
        <v>31854556</v>
      </c>
      <c r="Q134" s="229">
        <v>0</v>
      </c>
    </row>
    <row r="135" spans="9:19">
      <c r="I135" s="189" t="s">
        <v>5077</v>
      </c>
      <c r="J135" s="188">
        <f>L135-L134-1130250</f>
        <v>-410820</v>
      </c>
      <c r="K135" s="189" t="s">
        <v>5057</v>
      </c>
      <c r="L135" s="239">
        <v>745000000</v>
      </c>
      <c r="M135" s="239">
        <v>437000000</v>
      </c>
      <c r="N135" s="188">
        <f t="shared" si="34"/>
        <v>1182000000</v>
      </c>
      <c r="O135" s="188">
        <f>M135-M134-1130250</f>
        <v>-4132649</v>
      </c>
      <c r="P135" s="188">
        <f>N135-N134-2260500</f>
        <v>-4543469</v>
      </c>
      <c r="Q135" s="229">
        <v>2260500</v>
      </c>
    </row>
    <row r="136" spans="9:19">
      <c r="I136" s="213"/>
      <c r="J136" s="113">
        <f t="shared" si="23"/>
        <v>-6610338</v>
      </c>
      <c r="K136" s="213" t="s">
        <v>5061</v>
      </c>
      <c r="L136" s="84">
        <v>738389662</v>
      </c>
      <c r="M136" s="84">
        <v>433994737</v>
      </c>
      <c r="N136" s="113">
        <f t="shared" si="34"/>
        <v>1172384399</v>
      </c>
      <c r="O136" s="113">
        <f t="shared" si="32"/>
        <v>-3005263</v>
      </c>
      <c r="P136" s="113">
        <f t="shared" si="33"/>
        <v>-9615601</v>
      </c>
      <c r="Q136" s="229">
        <v>0</v>
      </c>
    </row>
    <row r="137" spans="9:19">
      <c r="I137" s="213"/>
      <c r="J137" s="113">
        <f t="shared" si="23"/>
        <v>-6184317</v>
      </c>
      <c r="K137" s="213" t="s">
        <v>5069</v>
      </c>
      <c r="L137" s="84">
        <v>732205345</v>
      </c>
      <c r="M137" s="84">
        <v>433540549</v>
      </c>
      <c r="N137" s="113">
        <f t="shared" si="34"/>
        <v>1165745894</v>
      </c>
      <c r="O137" s="113">
        <f t="shared" si="32"/>
        <v>-454188</v>
      </c>
      <c r="P137" s="113">
        <f t="shared" si="33"/>
        <v>-6638505</v>
      </c>
      <c r="Q137" s="229">
        <v>0</v>
      </c>
    </row>
    <row r="138" spans="9:19">
      <c r="I138" s="213"/>
      <c r="J138" s="113">
        <f t="shared" si="23"/>
        <v>4122409</v>
      </c>
      <c r="K138" s="213" t="s">
        <v>5073</v>
      </c>
      <c r="L138" s="84">
        <v>736327754</v>
      </c>
      <c r="M138" s="84">
        <v>439057094</v>
      </c>
      <c r="N138" s="113">
        <f t="shared" si="34"/>
        <v>1175384848</v>
      </c>
      <c r="O138" s="113">
        <f t="shared" si="32"/>
        <v>5516545</v>
      </c>
      <c r="P138" s="113">
        <f t="shared" si="33"/>
        <v>9638954</v>
      </c>
      <c r="Q138" s="229">
        <v>0</v>
      </c>
    </row>
    <row r="139" spans="9:19">
      <c r="I139" s="189" t="s">
        <v>5076</v>
      </c>
      <c r="J139" s="188">
        <f>L139-L138-206000</f>
        <v>15013287</v>
      </c>
      <c r="K139" s="189" t="s">
        <v>5075</v>
      </c>
      <c r="L139" s="239">
        <v>751547041</v>
      </c>
      <c r="M139" s="239">
        <v>448656068</v>
      </c>
      <c r="N139" s="188">
        <f t="shared" si="3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4"/>
        <v>1235245978</v>
      </c>
      <c r="O140" s="252">
        <f>M140-M139-50000</f>
        <v>12090130</v>
      </c>
      <c r="P140" s="252">
        <f>N140-N139-100000</f>
        <v>34942869</v>
      </c>
      <c r="Q140" s="229">
        <v>100000</v>
      </c>
    </row>
    <row r="141" spans="9:19">
      <c r="I141" s="213"/>
      <c r="J141" s="113">
        <f t="shared" si="23"/>
        <v>13614989</v>
      </c>
      <c r="K141" s="213" t="s">
        <v>5086</v>
      </c>
      <c r="L141" s="84">
        <v>788064769</v>
      </c>
      <c r="M141" s="84">
        <v>470434493</v>
      </c>
      <c r="N141" s="117">
        <f t="shared" si="34"/>
        <v>1258499262</v>
      </c>
      <c r="O141" s="113">
        <f t="shared" si="32"/>
        <v>9638295</v>
      </c>
      <c r="P141" s="113">
        <f t="shared" si="33"/>
        <v>23253284</v>
      </c>
      <c r="Q141" s="229">
        <v>0</v>
      </c>
    </row>
    <row r="142" spans="9:19">
      <c r="I142" s="189" t="s">
        <v>5090</v>
      </c>
      <c r="J142" s="188">
        <f>L142-L141-105000</f>
        <v>7274368</v>
      </c>
      <c r="K142" s="189" t="s">
        <v>5087</v>
      </c>
      <c r="L142" s="239">
        <v>795444137</v>
      </c>
      <c r="M142" s="239">
        <v>496046411</v>
      </c>
      <c r="N142" s="188">
        <f t="shared" si="34"/>
        <v>1291490548</v>
      </c>
      <c r="O142" s="188">
        <f>M142-M141-20000000</f>
        <v>5611918</v>
      </c>
      <c r="P142" s="188">
        <f>N142-N141-20105000</f>
        <v>12886286</v>
      </c>
      <c r="Q142" s="229">
        <v>20105000</v>
      </c>
    </row>
    <row r="143" spans="9:19">
      <c r="I143" s="265" t="s">
        <v>5101</v>
      </c>
      <c r="J143" s="266">
        <f>L143-L142+21285588</f>
        <v>17942685</v>
      </c>
      <c r="K143" s="265" t="s">
        <v>5092</v>
      </c>
      <c r="L143" s="267">
        <v>792101234</v>
      </c>
      <c r="M143" s="267">
        <v>504721695</v>
      </c>
      <c r="N143" s="266">
        <f t="shared" si="34"/>
        <v>1296822929</v>
      </c>
      <c r="O143" s="266">
        <f t="shared" si="32"/>
        <v>8675284</v>
      </c>
      <c r="P143" s="266">
        <f>N143-N142+21285588</f>
        <v>26617969</v>
      </c>
      <c r="Q143" s="229">
        <v>-21285588</v>
      </c>
    </row>
    <row r="144" spans="9:19">
      <c r="I144" s="265" t="s">
        <v>5102</v>
      </c>
      <c r="J144" s="266">
        <f>L144-L143+5949277</f>
        <v>6616903</v>
      </c>
      <c r="K144" s="265" t="s">
        <v>5095</v>
      </c>
      <c r="L144" s="267">
        <v>792768860</v>
      </c>
      <c r="M144" s="267">
        <v>507955566</v>
      </c>
      <c r="N144" s="249">
        <f t="shared" si="34"/>
        <v>1300724426</v>
      </c>
      <c r="O144" s="266">
        <f t="shared" si="32"/>
        <v>3233871</v>
      </c>
      <c r="P144" s="266">
        <f>N144-N143+5949277</f>
        <v>9850774</v>
      </c>
      <c r="Q144" s="229">
        <v>-5949277</v>
      </c>
    </row>
    <row r="145" spans="9:23" ht="30">
      <c r="I145" s="248" t="s">
        <v>5103</v>
      </c>
      <c r="J145" s="249">
        <f>L145-L144+16266000</f>
        <v>-3424278</v>
      </c>
      <c r="K145" s="216" t="s">
        <v>992</v>
      </c>
      <c r="L145" s="250">
        <v>773078582</v>
      </c>
      <c r="M145" s="250">
        <v>483243300</v>
      </c>
      <c r="N145" s="249">
        <f t="shared" si="34"/>
        <v>1256321882</v>
      </c>
      <c r="O145" s="249">
        <f>M145-M144+24159150</f>
        <v>-553116</v>
      </c>
      <c r="P145" s="249">
        <f>N145-N144+40425150</f>
        <v>-3977394</v>
      </c>
      <c r="Q145" s="229">
        <v>-40425150</v>
      </c>
    </row>
    <row r="146" spans="9:23">
      <c r="I146" s="268" t="s">
        <v>5106</v>
      </c>
      <c r="J146" s="220">
        <f>L146-L145+15482124</f>
        <v>-6662026</v>
      </c>
      <c r="K146" s="219" t="s">
        <v>5104</v>
      </c>
      <c r="L146" s="269">
        <v>750934432</v>
      </c>
      <c r="M146" s="269">
        <v>477277384</v>
      </c>
      <c r="N146" s="220">
        <f t="shared" ref="N146:N206" si="35">L146+M146</f>
        <v>1228211816</v>
      </c>
      <c r="O146" s="220">
        <f>M146-M145-50000</f>
        <v>-6015916</v>
      </c>
      <c r="P146" s="220">
        <f>N146-N145-50000+15482124</f>
        <v>-12677942</v>
      </c>
      <c r="Q146" s="229">
        <f>50000-15482124</f>
        <v>-15432124</v>
      </c>
    </row>
    <row r="147" spans="9:23">
      <c r="I147" s="213"/>
      <c r="J147" s="113">
        <f t="shared" ref="J147:J206" si="36">L147-L146</f>
        <v>-5020195</v>
      </c>
      <c r="K147" s="213" t="s">
        <v>5107</v>
      </c>
      <c r="L147" s="84">
        <v>745914237</v>
      </c>
      <c r="M147" s="84">
        <v>473862216</v>
      </c>
      <c r="N147" s="113">
        <f t="shared" si="35"/>
        <v>1219776453</v>
      </c>
      <c r="O147" s="113">
        <f t="shared" ref="O147:O158" si="37">M147-M146</f>
        <v>-3415168</v>
      </c>
      <c r="P147" s="113">
        <f t="shared" ref="P147:P158" si="38">N147-N146</f>
        <v>-8435363</v>
      </c>
      <c r="Q147" s="229">
        <v>0</v>
      </c>
    </row>
    <row r="148" spans="9:23">
      <c r="I148" s="213"/>
      <c r="J148" s="113">
        <f t="shared" si="36"/>
        <v>-2990159</v>
      </c>
      <c r="K148" s="213" t="s">
        <v>5108</v>
      </c>
      <c r="L148" s="84">
        <v>742924078</v>
      </c>
      <c r="M148" s="84">
        <v>472064753</v>
      </c>
      <c r="N148" s="113">
        <f t="shared" si="35"/>
        <v>1214988831</v>
      </c>
      <c r="O148" s="113">
        <f t="shared" si="37"/>
        <v>-1797463</v>
      </c>
      <c r="P148" s="113">
        <f t="shared" si="38"/>
        <v>-4787622</v>
      </c>
      <c r="Q148" s="229">
        <v>0</v>
      </c>
      <c r="T148" t="s">
        <v>25</v>
      </c>
    </row>
    <row r="149" spans="9:23">
      <c r="I149" s="213"/>
      <c r="J149" s="113">
        <f t="shared" si="36"/>
        <v>-2104826</v>
      </c>
      <c r="K149" s="213" t="s">
        <v>5109</v>
      </c>
      <c r="L149" s="84">
        <v>740819252</v>
      </c>
      <c r="M149" s="84">
        <v>470305993</v>
      </c>
      <c r="N149" s="113">
        <f t="shared" si="35"/>
        <v>1211125245</v>
      </c>
      <c r="O149" s="113">
        <f t="shared" si="37"/>
        <v>-1758760</v>
      </c>
      <c r="P149" s="113">
        <f t="shared" si="38"/>
        <v>-3863586</v>
      </c>
      <c r="Q149" s="229">
        <v>0</v>
      </c>
      <c r="V149" t="s">
        <v>25</v>
      </c>
    </row>
    <row r="150" spans="9:23">
      <c r="I150" s="189" t="s">
        <v>5112</v>
      </c>
      <c r="J150" s="188">
        <f t="shared" si="36"/>
        <v>19640187</v>
      </c>
      <c r="K150" s="189" t="s">
        <v>5111</v>
      </c>
      <c r="L150" s="239">
        <v>760459439</v>
      </c>
      <c r="M150" s="239">
        <v>480341526</v>
      </c>
      <c r="N150" s="188">
        <f t="shared" si="35"/>
        <v>1240800965</v>
      </c>
      <c r="O150" s="188">
        <f>M150-M149-2480000</f>
        <v>7555533</v>
      </c>
      <c r="P150" s="188">
        <f>N150-N149-2480000</f>
        <v>27195720</v>
      </c>
      <c r="Q150" s="229">
        <v>2480000</v>
      </c>
    </row>
    <row r="151" spans="9:23">
      <c r="I151" s="213" t="s">
        <v>5115</v>
      </c>
      <c r="J151" s="113">
        <f>L151-L150-10000000</f>
        <v>7047541</v>
      </c>
      <c r="K151" s="213" t="s">
        <v>5114</v>
      </c>
      <c r="L151" s="84">
        <v>777506980</v>
      </c>
      <c r="M151" s="84">
        <v>487011941</v>
      </c>
      <c r="N151" s="117">
        <f t="shared" si="35"/>
        <v>1264518921</v>
      </c>
      <c r="O151" s="113">
        <f t="shared" si="37"/>
        <v>6670415</v>
      </c>
      <c r="P151" s="113">
        <f>N151-N150-10000000</f>
        <v>13717956</v>
      </c>
      <c r="Q151" s="229">
        <v>10000000</v>
      </c>
    </row>
    <row r="152" spans="9:23">
      <c r="I152" s="213"/>
      <c r="J152" s="113">
        <f t="shared" si="36"/>
        <v>12326187</v>
      </c>
      <c r="K152" s="213" t="s">
        <v>5118</v>
      </c>
      <c r="L152" s="84">
        <v>789833167</v>
      </c>
      <c r="M152" s="84">
        <v>496662271</v>
      </c>
      <c r="N152" s="117">
        <f t="shared" si="35"/>
        <v>1286495438</v>
      </c>
      <c r="O152" s="113">
        <f t="shared" si="37"/>
        <v>9650330</v>
      </c>
      <c r="P152" s="113">
        <f t="shared" si="38"/>
        <v>21976517</v>
      </c>
      <c r="Q152" s="229">
        <v>0</v>
      </c>
    </row>
    <row r="153" spans="9:23">
      <c r="I153" s="213"/>
      <c r="J153" s="113">
        <f t="shared" si="36"/>
        <v>-15331439</v>
      </c>
      <c r="K153" s="213" t="s">
        <v>5121</v>
      </c>
      <c r="L153" s="84">
        <v>774501728</v>
      </c>
      <c r="M153" s="84">
        <v>489029442</v>
      </c>
      <c r="N153" s="113">
        <f t="shared" si="35"/>
        <v>1263531170</v>
      </c>
      <c r="O153" s="113">
        <f t="shared" si="37"/>
        <v>-7632829</v>
      </c>
      <c r="P153" s="113">
        <f t="shared" si="38"/>
        <v>-22964268</v>
      </c>
      <c r="Q153" s="229">
        <v>0</v>
      </c>
    </row>
    <row r="154" spans="9:23">
      <c r="I154" s="213"/>
      <c r="J154" s="113">
        <f t="shared" si="36"/>
        <v>-32356446</v>
      </c>
      <c r="K154" s="213" t="s">
        <v>5125</v>
      </c>
      <c r="L154" s="84">
        <v>742145282</v>
      </c>
      <c r="M154" s="84">
        <v>468861007</v>
      </c>
      <c r="N154" s="113">
        <f t="shared" si="35"/>
        <v>1211006289</v>
      </c>
      <c r="O154" s="113">
        <f t="shared" si="37"/>
        <v>-20168435</v>
      </c>
      <c r="P154" s="113">
        <f t="shared" si="38"/>
        <v>-52524881</v>
      </c>
      <c r="Q154" s="229">
        <v>0</v>
      </c>
      <c r="S154" s="114"/>
    </row>
    <row r="155" spans="9:23">
      <c r="I155" s="213"/>
      <c r="J155" s="113">
        <f t="shared" si="36"/>
        <v>27087716</v>
      </c>
      <c r="K155" s="213" t="s">
        <v>5119</v>
      </c>
      <c r="L155" s="84">
        <v>769232998</v>
      </c>
      <c r="M155" s="84">
        <v>486200144</v>
      </c>
      <c r="N155" s="113">
        <f t="shared" si="35"/>
        <v>1255433142</v>
      </c>
      <c r="O155" s="113">
        <f t="shared" si="37"/>
        <v>17339137</v>
      </c>
      <c r="P155" s="113">
        <f t="shared" si="38"/>
        <v>44426853</v>
      </c>
      <c r="Q155" s="229">
        <v>0</v>
      </c>
    </row>
    <row r="156" spans="9:23">
      <c r="I156" s="213"/>
      <c r="J156" s="113">
        <f t="shared" si="36"/>
        <v>-11588296</v>
      </c>
      <c r="K156" s="213" t="s">
        <v>5129</v>
      </c>
      <c r="L156" s="84">
        <v>757644702</v>
      </c>
      <c r="M156" s="84">
        <v>479518419</v>
      </c>
      <c r="N156" s="113">
        <f t="shared" si="35"/>
        <v>1237163121</v>
      </c>
      <c r="O156" s="113">
        <f t="shared" si="37"/>
        <v>-6681725</v>
      </c>
      <c r="P156" s="113">
        <f t="shared" si="38"/>
        <v>-18270021</v>
      </c>
      <c r="Q156" s="229">
        <v>0</v>
      </c>
    </row>
    <row r="157" spans="9:23">
      <c r="I157" s="213"/>
      <c r="J157" s="113">
        <f t="shared" si="36"/>
        <v>44081635</v>
      </c>
      <c r="K157" s="213" t="s">
        <v>4235</v>
      </c>
      <c r="L157" s="84">
        <v>801726337</v>
      </c>
      <c r="M157" s="84">
        <v>506850552</v>
      </c>
      <c r="N157" s="117">
        <f t="shared" si="35"/>
        <v>1308576889</v>
      </c>
      <c r="O157" s="113">
        <f t="shared" si="37"/>
        <v>27332133</v>
      </c>
      <c r="P157" s="113">
        <f t="shared" si="38"/>
        <v>71413768</v>
      </c>
      <c r="Q157" s="229">
        <v>0</v>
      </c>
      <c r="W157" t="s">
        <v>25</v>
      </c>
    </row>
    <row r="158" spans="9:23">
      <c r="I158" s="213"/>
      <c r="J158" s="113">
        <f t="shared" si="36"/>
        <v>6630946</v>
      </c>
      <c r="K158" s="213" t="s">
        <v>5131</v>
      </c>
      <c r="L158" s="84">
        <v>808357283</v>
      </c>
      <c r="M158" s="84">
        <v>511928213</v>
      </c>
      <c r="N158" s="117">
        <f t="shared" si="35"/>
        <v>1320285496</v>
      </c>
      <c r="O158" s="113">
        <f t="shared" si="37"/>
        <v>5077661</v>
      </c>
      <c r="P158" s="113">
        <f t="shared" si="38"/>
        <v>11708607</v>
      </c>
      <c r="Q158" s="229">
        <v>0</v>
      </c>
    </row>
    <row r="159" spans="9:23">
      <c r="I159" s="213"/>
      <c r="J159" s="113">
        <f t="shared" si="36"/>
        <v>-3113999</v>
      </c>
      <c r="K159" s="213" t="s">
        <v>5120</v>
      </c>
      <c r="L159" s="84">
        <v>805243284</v>
      </c>
      <c r="M159" s="84">
        <v>510366011</v>
      </c>
      <c r="N159" s="113">
        <f t="shared" si="35"/>
        <v>1315609295</v>
      </c>
      <c r="O159" s="113">
        <f t="shared" ref="O159:O206" si="39">M159-M158</f>
        <v>-1562202</v>
      </c>
      <c r="P159" s="113">
        <f t="shared" ref="P159:P206" si="40">N159-N158</f>
        <v>-4676201</v>
      </c>
      <c r="Q159" s="229">
        <v>0</v>
      </c>
    </row>
    <row r="160" spans="9:23">
      <c r="I160" s="271" t="s">
        <v>5147</v>
      </c>
      <c r="J160" s="188">
        <f>L160-L159-1000000</f>
        <v>-11757327</v>
      </c>
      <c r="K160" s="189" t="s">
        <v>5146</v>
      </c>
      <c r="L160" s="239">
        <v>794485957</v>
      </c>
      <c r="M160" s="239">
        <v>500307505</v>
      </c>
      <c r="N160" s="188">
        <f t="shared" si="35"/>
        <v>1294793462</v>
      </c>
      <c r="O160" s="188">
        <f>M160-M159-400000</f>
        <v>-10458506</v>
      </c>
      <c r="P160" s="188">
        <f>N160-N159-1400000</f>
        <v>-22215833</v>
      </c>
      <c r="Q160" s="229">
        <v>1400000</v>
      </c>
    </row>
    <row r="161" spans="9:18">
      <c r="I161" s="213"/>
      <c r="J161" s="113">
        <f t="shared" si="36"/>
        <v>15301801</v>
      </c>
      <c r="K161" s="213" t="s">
        <v>5148</v>
      </c>
      <c r="L161" s="84">
        <v>809787758</v>
      </c>
      <c r="M161" s="84">
        <v>508573621</v>
      </c>
      <c r="N161" s="113">
        <f t="shared" si="35"/>
        <v>1318361379</v>
      </c>
      <c r="O161" s="113">
        <f t="shared" si="39"/>
        <v>8266116</v>
      </c>
      <c r="P161" s="113">
        <f t="shared" si="40"/>
        <v>23567917</v>
      </c>
    </row>
    <row r="162" spans="9:18">
      <c r="I162" s="251" t="s">
        <v>5151</v>
      </c>
      <c r="J162" s="252">
        <f>L162-L161-40000</f>
        <v>22492792</v>
      </c>
      <c r="K162" s="251" t="s">
        <v>5149</v>
      </c>
      <c r="L162" s="253">
        <v>832320550</v>
      </c>
      <c r="M162" s="253">
        <v>520218492</v>
      </c>
      <c r="N162" s="252">
        <f t="shared" si="35"/>
        <v>1352539042</v>
      </c>
      <c r="O162" s="252">
        <f>M162-M161-40000</f>
        <v>11604871</v>
      </c>
      <c r="P162" s="252">
        <f>N162-N161-80000</f>
        <v>34097663</v>
      </c>
      <c r="Q162" s="229">
        <v>80000</v>
      </c>
    </row>
    <row r="163" spans="9:18">
      <c r="I163" s="213"/>
      <c r="J163" s="113">
        <f t="shared" si="36"/>
        <v>17160356</v>
      </c>
      <c r="K163" s="213" t="s">
        <v>5153</v>
      </c>
      <c r="L163" s="84">
        <v>849480906</v>
      </c>
      <c r="M163" s="84">
        <v>529879172</v>
      </c>
      <c r="N163" s="35">
        <f t="shared" si="35"/>
        <v>1379360078</v>
      </c>
      <c r="O163" s="113">
        <f t="shared" si="39"/>
        <v>9660680</v>
      </c>
      <c r="P163" s="113">
        <f t="shared" si="40"/>
        <v>26821036</v>
      </c>
      <c r="Q163" s="229">
        <v>0</v>
      </c>
    </row>
    <row r="164" spans="9:18">
      <c r="I164" s="213"/>
      <c r="J164" s="113">
        <f t="shared" si="36"/>
        <v>-9629608</v>
      </c>
      <c r="K164" s="213" t="s">
        <v>5163</v>
      </c>
      <c r="L164" s="84">
        <v>839851298</v>
      </c>
      <c r="M164" s="84">
        <v>524867809</v>
      </c>
      <c r="N164" s="113">
        <f t="shared" si="35"/>
        <v>1364719107</v>
      </c>
      <c r="O164" s="113">
        <f t="shared" si="39"/>
        <v>-5011363</v>
      </c>
      <c r="P164" s="113">
        <f t="shared" si="40"/>
        <v>-14640971</v>
      </c>
      <c r="Q164" s="229">
        <v>0</v>
      </c>
    </row>
    <row r="165" spans="9:18">
      <c r="I165" s="251" t="s">
        <v>5169</v>
      </c>
      <c r="J165" s="252">
        <f>L165-L164-120000</f>
        <v>-2216696</v>
      </c>
      <c r="K165" s="251" t="s">
        <v>5166</v>
      </c>
      <c r="L165" s="253">
        <v>837754602</v>
      </c>
      <c r="M165" s="253">
        <v>524141818</v>
      </c>
      <c r="N165" s="252">
        <f t="shared" si="35"/>
        <v>1361896420</v>
      </c>
      <c r="O165" s="252">
        <f>M165-M164-200000</f>
        <v>-925991</v>
      </c>
      <c r="P165" s="252">
        <f>N165-N164-320000</f>
        <v>-3142687</v>
      </c>
      <c r="Q165" s="229">
        <v>320000</v>
      </c>
    </row>
    <row r="166" spans="9:18">
      <c r="I166" s="251" t="s">
        <v>5046</v>
      </c>
      <c r="J166" s="252">
        <f t="shared" si="36"/>
        <v>-5830761</v>
      </c>
      <c r="K166" s="251" t="s">
        <v>5172</v>
      </c>
      <c r="L166" s="253">
        <v>831923841</v>
      </c>
      <c r="M166" s="253">
        <v>520741895</v>
      </c>
      <c r="N166" s="252">
        <f t="shared" si="35"/>
        <v>1352665736</v>
      </c>
      <c r="O166" s="252">
        <f>M166-M165-500000</f>
        <v>-3899923</v>
      </c>
      <c r="P166" s="252">
        <f>N166-N165-500000</f>
        <v>-9730684</v>
      </c>
      <c r="Q166" s="229">
        <v>500000</v>
      </c>
    </row>
    <row r="167" spans="9:18">
      <c r="I167" s="251" t="s">
        <v>5046</v>
      </c>
      <c r="J167" s="252">
        <f t="shared" si="36"/>
        <v>-22467551</v>
      </c>
      <c r="K167" s="251" t="s">
        <v>5175</v>
      </c>
      <c r="L167" s="253">
        <v>809456290</v>
      </c>
      <c r="M167" s="253">
        <v>509313372</v>
      </c>
      <c r="N167" s="252">
        <f t="shared" si="35"/>
        <v>1318769662</v>
      </c>
      <c r="O167" s="252">
        <f>M167-M166-500000</f>
        <v>-11928523</v>
      </c>
      <c r="P167" s="252">
        <f>N167-N166-500000</f>
        <v>-34396074</v>
      </c>
      <c r="Q167" s="229">
        <v>500000</v>
      </c>
    </row>
    <row r="168" spans="9:18">
      <c r="I168" s="251" t="s">
        <v>5176</v>
      </c>
      <c r="J168" s="252">
        <f>L168-L167-249000</f>
        <v>-15588738</v>
      </c>
      <c r="K168" s="251" t="s">
        <v>5156</v>
      </c>
      <c r="L168" s="253">
        <v>794116552</v>
      </c>
      <c r="M168" s="253">
        <v>501172095</v>
      </c>
      <c r="N168" s="252">
        <f t="shared" si="35"/>
        <v>1295288647</v>
      </c>
      <c r="O168" s="252">
        <f>M168-M167-250000</f>
        <v>-8391277</v>
      </c>
      <c r="P168" s="252">
        <f>N168-N167-499000</f>
        <v>-23980015</v>
      </c>
      <c r="Q168" s="229">
        <v>499000</v>
      </c>
    </row>
    <row r="169" spans="9:18">
      <c r="I169" s="213"/>
      <c r="J169" s="113">
        <f t="shared" si="36"/>
        <v>11269240</v>
      </c>
      <c r="K169" s="213" t="s">
        <v>5177</v>
      </c>
      <c r="L169" s="84">
        <v>805385792</v>
      </c>
      <c r="M169" s="84">
        <v>507195022</v>
      </c>
      <c r="N169" s="113">
        <f t="shared" si="35"/>
        <v>1312580814</v>
      </c>
      <c r="O169" s="113">
        <f t="shared" si="39"/>
        <v>6022927</v>
      </c>
      <c r="P169" s="113">
        <f t="shared" si="40"/>
        <v>17292167</v>
      </c>
      <c r="Q169" s="229">
        <v>0</v>
      </c>
    </row>
    <row r="170" spans="9:18">
      <c r="I170" s="213"/>
      <c r="J170" s="113">
        <f t="shared" si="36"/>
        <v>-18119284</v>
      </c>
      <c r="K170" s="213" t="s">
        <v>5181</v>
      </c>
      <c r="L170" s="84">
        <v>787266508</v>
      </c>
      <c r="M170" s="84">
        <v>498492039</v>
      </c>
      <c r="N170" s="113">
        <f t="shared" si="35"/>
        <v>1285758547</v>
      </c>
      <c r="O170" s="113">
        <f t="shared" si="39"/>
        <v>-8702983</v>
      </c>
      <c r="P170" s="113">
        <f t="shared" si="40"/>
        <v>-26822267</v>
      </c>
      <c r="Q170" s="229">
        <v>0</v>
      </c>
    </row>
    <row r="171" spans="9:18">
      <c r="I171" s="213"/>
      <c r="J171" s="113">
        <f t="shared" si="36"/>
        <v>19151757</v>
      </c>
      <c r="K171" s="213" t="s">
        <v>3852</v>
      </c>
      <c r="L171" s="84">
        <v>806418265</v>
      </c>
      <c r="M171" s="84">
        <v>508251365</v>
      </c>
      <c r="N171" s="113">
        <f t="shared" si="35"/>
        <v>1314669630</v>
      </c>
      <c r="O171" s="113">
        <f t="shared" si="39"/>
        <v>9759326</v>
      </c>
      <c r="P171" s="113">
        <f t="shared" si="40"/>
        <v>28911083</v>
      </c>
      <c r="Q171" s="229">
        <v>0</v>
      </c>
    </row>
    <row r="172" spans="9:18">
      <c r="I172" s="213"/>
      <c r="J172" s="113">
        <f t="shared" si="36"/>
        <v>-130356</v>
      </c>
      <c r="K172" s="213" t="s">
        <v>5189</v>
      </c>
      <c r="L172" s="84">
        <v>806287909</v>
      </c>
      <c r="M172" s="255">
        <v>508728805</v>
      </c>
      <c r="N172" s="113">
        <f t="shared" si="35"/>
        <v>1315016714</v>
      </c>
      <c r="O172" s="113">
        <f t="shared" si="39"/>
        <v>477440</v>
      </c>
      <c r="P172" s="113">
        <f t="shared" si="40"/>
        <v>347084</v>
      </c>
      <c r="Q172" s="229">
        <v>0</v>
      </c>
    </row>
    <row r="173" spans="9:18">
      <c r="I173" s="213"/>
      <c r="J173" s="113">
        <f t="shared" si="36"/>
        <v>-4205755</v>
      </c>
      <c r="K173" s="213" t="s">
        <v>5190</v>
      </c>
      <c r="L173" s="84">
        <v>802082154</v>
      </c>
      <c r="M173" s="84">
        <v>508611485</v>
      </c>
      <c r="N173" s="113">
        <f t="shared" si="35"/>
        <v>1310693639</v>
      </c>
      <c r="O173" s="113">
        <f t="shared" si="39"/>
        <v>-117320</v>
      </c>
      <c r="P173" s="113">
        <f t="shared" si="40"/>
        <v>-4323075</v>
      </c>
      <c r="Q173" s="229">
        <v>0</v>
      </c>
      <c r="R173" t="s">
        <v>25</v>
      </c>
    </row>
    <row r="174" spans="9:18">
      <c r="I174" s="251" t="s">
        <v>5193</v>
      </c>
      <c r="J174" s="252">
        <f>L174-L173-65000</f>
        <v>5888390</v>
      </c>
      <c r="K174" s="251" t="s">
        <v>5192</v>
      </c>
      <c r="L174" s="253">
        <v>808035544</v>
      </c>
      <c r="M174" s="253">
        <v>512177913</v>
      </c>
      <c r="N174" s="252">
        <f t="shared" si="35"/>
        <v>1320213457</v>
      </c>
      <c r="O174" s="252">
        <f t="shared" si="39"/>
        <v>3566428</v>
      </c>
      <c r="P174" s="252">
        <f>N174-N173-65000</f>
        <v>9454818</v>
      </c>
      <c r="Q174" s="229">
        <v>65000</v>
      </c>
    </row>
    <row r="175" spans="9:18">
      <c r="I175" s="213"/>
      <c r="J175" s="113">
        <f t="shared" si="36"/>
        <v>347325</v>
      </c>
      <c r="K175" s="213" t="s">
        <v>4236</v>
      </c>
      <c r="L175" s="84">
        <v>808382869</v>
      </c>
      <c r="M175" s="84">
        <v>512740969</v>
      </c>
      <c r="N175" s="113">
        <f t="shared" si="35"/>
        <v>1321123838</v>
      </c>
      <c r="O175" s="113">
        <f t="shared" si="39"/>
        <v>563056</v>
      </c>
      <c r="P175" s="113">
        <f t="shared" si="40"/>
        <v>910381</v>
      </c>
      <c r="Q175" s="229">
        <v>0</v>
      </c>
    </row>
    <row r="176" spans="9:18">
      <c r="I176" s="216" t="s">
        <v>5205</v>
      </c>
      <c r="J176" s="249">
        <f>L176-L175+305807</f>
        <v>8668560</v>
      </c>
      <c r="K176" s="216" t="s">
        <v>5201</v>
      </c>
      <c r="L176" s="250">
        <v>816745622</v>
      </c>
      <c r="M176" s="250">
        <v>516127148</v>
      </c>
      <c r="N176" s="249">
        <f t="shared" si="35"/>
        <v>1332872770</v>
      </c>
      <c r="O176" s="249">
        <f>M176-M175+305807</f>
        <v>3691986</v>
      </c>
      <c r="P176" s="249">
        <f>N176-N175+611614</f>
        <v>12360546</v>
      </c>
      <c r="Q176" s="229">
        <v>-611614</v>
      </c>
    </row>
    <row r="177" spans="9:17">
      <c r="I177" s="152" t="s">
        <v>5206</v>
      </c>
      <c r="J177" s="249">
        <f>L177-L176+63348</f>
        <v>4837676</v>
      </c>
      <c r="K177" s="216" t="s">
        <v>5202</v>
      </c>
      <c r="L177" s="250">
        <v>821519950</v>
      </c>
      <c r="M177" s="250">
        <v>505943649</v>
      </c>
      <c r="N177" s="249">
        <f t="shared" si="35"/>
        <v>1327463599</v>
      </c>
      <c r="O177" s="249">
        <f>M177-M176+13076601</f>
        <v>2893102</v>
      </c>
      <c r="P177" s="249">
        <f>N177-N176+13139949</f>
        <v>7730778</v>
      </c>
      <c r="Q177" s="229">
        <v>-13139949</v>
      </c>
    </row>
    <row r="178" spans="9:17">
      <c r="I178" s="213" t="s">
        <v>5215</v>
      </c>
      <c r="J178" s="113">
        <f t="shared" si="36"/>
        <v>30807186</v>
      </c>
      <c r="K178" s="213" t="s">
        <v>5212</v>
      </c>
      <c r="L178" s="84">
        <v>852327136</v>
      </c>
      <c r="M178" s="84">
        <v>521297098</v>
      </c>
      <c r="N178" s="113">
        <f t="shared" si="35"/>
        <v>1373624234</v>
      </c>
      <c r="O178" s="113">
        <f t="shared" si="39"/>
        <v>15353449</v>
      </c>
      <c r="P178" s="113">
        <f t="shared" si="40"/>
        <v>46160635</v>
      </c>
    </row>
    <row r="179" spans="9:17">
      <c r="I179" s="213"/>
      <c r="J179" s="113">
        <f t="shared" si="36"/>
        <v>-852327136</v>
      </c>
      <c r="K179" s="213"/>
      <c r="L179" s="84"/>
      <c r="M179" s="84"/>
      <c r="N179" s="113">
        <f t="shared" si="35"/>
        <v>0</v>
      </c>
      <c r="O179" s="113">
        <f t="shared" si="39"/>
        <v>-521297098</v>
      </c>
      <c r="P179" s="113">
        <f t="shared" si="40"/>
        <v>-1373624234</v>
      </c>
    </row>
    <row r="180" spans="9:17">
      <c r="I180" s="213"/>
      <c r="J180" s="113">
        <f t="shared" si="36"/>
        <v>0</v>
      </c>
      <c r="K180" s="213"/>
      <c r="L180" s="84"/>
      <c r="M180" s="84"/>
      <c r="N180" s="113">
        <f t="shared" si="35"/>
        <v>0</v>
      </c>
      <c r="O180" s="113">
        <f t="shared" si="39"/>
        <v>0</v>
      </c>
      <c r="P180" s="113">
        <f t="shared" si="40"/>
        <v>0</v>
      </c>
    </row>
    <row r="181" spans="9:17">
      <c r="I181" s="213"/>
      <c r="J181" s="113">
        <f t="shared" si="36"/>
        <v>0</v>
      </c>
      <c r="K181" s="213"/>
      <c r="L181" s="84"/>
      <c r="M181" s="84"/>
      <c r="N181" s="113">
        <f t="shared" si="35"/>
        <v>0</v>
      </c>
      <c r="O181" s="113">
        <f t="shared" si="39"/>
        <v>0</v>
      </c>
      <c r="P181" s="113">
        <f t="shared" si="40"/>
        <v>0</v>
      </c>
    </row>
    <row r="182" spans="9:17">
      <c r="I182" s="213"/>
      <c r="J182" s="113">
        <f t="shared" si="36"/>
        <v>0</v>
      </c>
      <c r="K182" s="213"/>
      <c r="L182" s="84"/>
      <c r="M182" s="84"/>
      <c r="N182" s="113">
        <f t="shared" si="35"/>
        <v>0</v>
      </c>
      <c r="O182" s="113">
        <f t="shared" si="39"/>
        <v>0</v>
      </c>
      <c r="P182" s="113">
        <f t="shared" si="40"/>
        <v>0</v>
      </c>
    </row>
    <row r="183" spans="9:17">
      <c r="I183" s="213"/>
      <c r="J183" s="113">
        <f t="shared" si="36"/>
        <v>0</v>
      </c>
      <c r="K183" s="213"/>
      <c r="L183" s="84"/>
      <c r="M183" s="84"/>
      <c r="N183" s="113">
        <f t="shared" si="35"/>
        <v>0</v>
      </c>
      <c r="O183" s="113">
        <f t="shared" si="39"/>
        <v>0</v>
      </c>
      <c r="P183" s="113">
        <f t="shared" si="40"/>
        <v>0</v>
      </c>
    </row>
    <row r="184" spans="9:17">
      <c r="I184" s="213"/>
      <c r="J184" s="113">
        <f t="shared" si="36"/>
        <v>0</v>
      </c>
      <c r="K184" s="213"/>
      <c r="L184" s="84"/>
      <c r="M184" s="84"/>
      <c r="N184" s="113">
        <f t="shared" si="35"/>
        <v>0</v>
      </c>
      <c r="O184" s="113">
        <f t="shared" si="39"/>
        <v>0</v>
      </c>
      <c r="P184" s="113">
        <f t="shared" si="40"/>
        <v>0</v>
      </c>
    </row>
    <row r="185" spans="9:17">
      <c r="I185" s="213"/>
      <c r="J185" s="113">
        <f t="shared" si="36"/>
        <v>0</v>
      </c>
      <c r="K185" s="213"/>
      <c r="L185" s="84"/>
      <c r="M185" s="84"/>
      <c r="N185" s="113">
        <f t="shared" si="35"/>
        <v>0</v>
      </c>
      <c r="O185" s="113">
        <f t="shared" si="39"/>
        <v>0</v>
      </c>
      <c r="P185" s="113">
        <f t="shared" si="40"/>
        <v>0</v>
      </c>
    </row>
    <row r="186" spans="9:17">
      <c r="I186" s="213"/>
      <c r="J186" s="113">
        <f t="shared" si="36"/>
        <v>0</v>
      </c>
      <c r="K186" s="213"/>
      <c r="L186" s="84"/>
      <c r="M186" s="84"/>
      <c r="N186" s="113">
        <f t="shared" si="35"/>
        <v>0</v>
      </c>
      <c r="O186" s="113">
        <f t="shared" si="39"/>
        <v>0</v>
      </c>
      <c r="P186" s="113">
        <f t="shared" si="40"/>
        <v>0</v>
      </c>
    </row>
    <row r="187" spans="9:17">
      <c r="I187" s="213"/>
      <c r="J187" s="113">
        <f t="shared" si="36"/>
        <v>0</v>
      </c>
      <c r="K187" s="213"/>
      <c r="L187" s="84"/>
      <c r="M187" s="84"/>
      <c r="N187" s="113">
        <f t="shared" si="35"/>
        <v>0</v>
      </c>
      <c r="O187" s="113">
        <f t="shared" si="39"/>
        <v>0</v>
      </c>
      <c r="P187" s="113">
        <f t="shared" si="40"/>
        <v>0</v>
      </c>
    </row>
    <row r="188" spans="9:17">
      <c r="I188" s="213"/>
      <c r="J188" s="113">
        <f t="shared" si="36"/>
        <v>0</v>
      </c>
      <c r="K188" s="213"/>
      <c r="L188" s="84"/>
      <c r="M188" s="84"/>
      <c r="N188" s="113">
        <f t="shared" si="35"/>
        <v>0</v>
      </c>
      <c r="O188" s="113">
        <f t="shared" si="39"/>
        <v>0</v>
      </c>
      <c r="P188" s="113">
        <f t="shared" si="40"/>
        <v>0</v>
      </c>
    </row>
    <row r="189" spans="9:17">
      <c r="I189" s="213"/>
      <c r="J189" s="113">
        <f t="shared" si="36"/>
        <v>0</v>
      </c>
      <c r="K189" s="213"/>
      <c r="L189" s="84"/>
      <c r="M189" s="84"/>
      <c r="N189" s="113">
        <f t="shared" si="35"/>
        <v>0</v>
      </c>
      <c r="O189" s="113">
        <f t="shared" si="39"/>
        <v>0</v>
      </c>
      <c r="P189" s="113">
        <f t="shared" si="40"/>
        <v>0</v>
      </c>
    </row>
    <row r="190" spans="9:17">
      <c r="I190" s="213"/>
      <c r="J190" s="113">
        <f t="shared" si="36"/>
        <v>0</v>
      </c>
      <c r="K190" s="213"/>
      <c r="L190" s="84"/>
      <c r="M190" s="84"/>
      <c r="N190" s="113">
        <f t="shared" si="35"/>
        <v>0</v>
      </c>
      <c r="O190" s="113">
        <f t="shared" si="39"/>
        <v>0</v>
      </c>
      <c r="P190" s="113">
        <f t="shared" si="40"/>
        <v>0</v>
      </c>
    </row>
    <row r="191" spans="9:17">
      <c r="I191" s="213"/>
      <c r="J191" s="113">
        <f t="shared" si="36"/>
        <v>0</v>
      </c>
      <c r="K191" s="213"/>
      <c r="L191" s="84"/>
      <c r="M191" s="84"/>
      <c r="N191" s="113">
        <f t="shared" si="35"/>
        <v>0</v>
      </c>
      <c r="O191" s="113">
        <f t="shared" si="39"/>
        <v>0</v>
      </c>
      <c r="P191" s="113">
        <f t="shared" si="40"/>
        <v>0</v>
      </c>
    </row>
    <row r="192" spans="9:17">
      <c r="I192" s="213"/>
      <c r="J192" s="113">
        <f t="shared" si="36"/>
        <v>0</v>
      </c>
      <c r="K192" s="213"/>
      <c r="L192" s="84"/>
      <c r="M192" s="84"/>
      <c r="N192" s="113">
        <f t="shared" si="35"/>
        <v>0</v>
      </c>
      <c r="O192" s="113">
        <f t="shared" si="39"/>
        <v>0</v>
      </c>
      <c r="P192" s="113">
        <f t="shared" si="40"/>
        <v>0</v>
      </c>
    </row>
    <row r="193" spans="9:16">
      <c r="I193" s="213"/>
      <c r="J193" s="113">
        <f t="shared" si="36"/>
        <v>0</v>
      </c>
      <c r="K193" s="213"/>
      <c r="L193" s="84"/>
      <c r="M193" s="84"/>
      <c r="N193" s="113">
        <f t="shared" si="35"/>
        <v>0</v>
      </c>
      <c r="O193" s="113">
        <f t="shared" si="39"/>
        <v>0</v>
      </c>
      <c r="P193" s="113">
        <f t="shared" si="40"/>
        <v>0</v>
      </c>
    </row>
    <row r="194" spans="9:16">
      <c r="I194" s="213"/>
      <c r="J194" s="113">
        <f t="shared" si="36"/>
        <v>0</v>
      </c>
      <c r="K194" s="213"/>
      <c r="L194" s="84"/>
      <c r="M194" s="84"/>
      <c r="N194" s="113">
        <f t="shared" si="35"/>
        <v>0</v>
      </c>
      <c r="O194" s="113">
        <f t="shared" si="39"/>
        <v>0</v>
      </c>
      <c r="P194" s="113">
        <f t="shared" si="40"/>
        <v>0</v>
      </c>
    </row>
    <row r="195" spans="9:16">
      <c r="I195" s="213"/>
      <c r="J195" s="113">
        <f t="shared" si="36"/>
        <v>0</v>
      </c>
      <c r="K195" s="213"/>
      <c r="L195" s="84"/>
      <c r="M195" s="84"/>
      <c r="N195" s="113">
        <f t="shared" si="35"/>
        <v>0</v>
      </c>
      <c r="O195" s="113">
        <f t="shared" si="39"/>
        <v>0</v>
      </c>
      <c r="P195" s="113">
        <f t="shared" si="40"/>
        <v>0</v>
      </c>
    </row>
    <row r="196" spans="9:16">
      <c r="I196" s="213"/>
      <c r="J196" s="113">
        <f t="shared" si="36"/>
        <v>0</v>
      </c>
      <c r="K196" s="213"/>
      <c r="L196" s="84"/>
      <c r="M196" s="84"/>
      <c r="N196" s="113">
        <f t="shared" si="35"/>
        <v>0</v>
      </c>
      <c r="O196" s="113">
        <f t="shared" si="39"/>
        <v>0</v>
      </c>
      <c r="P196" s="113">
        <f t="shared" si="40"/>
        <v>0</v>
      </c>
    </row>
    <row r="197" spans="9:16">
      <c r="I197" s="213"/>
      <c r="J197" s="113">
        <f t="shared" si="36"/>
        <v>0</v>
      </c>
      <c r="K197" s="213"/>
      <c r="L197" s="84"/>
      <c r="M197" s="84"/>
      <c r="N197" s="113">
        <f t="shared" si="35"/>
        <v>0</v>
      </c>
      <c r="O197" s="113">
        <f t="shared" si="39"/>
        <v>0</v>
      </c>
      <c r="P197" s="113">
        <f t="shared" si="40"/>
        <v>0</v>
      </c>
    </row>
    <row r="198" spans="9:16">
      <c r="I198" s="213"/>
      <c r="J198" s="113">
        <f t="shared" si="36"/>
        <v>0</v>
      </c>
      <c r="K198" s="213"/>
      <c r="L198" s="84"/>
      <c r="M198" s="84"/>
      <c r="N198" s="113">
        <f t="shared" si="35"/>
        <v>0</v>
      </c>
      <c r="O198" s="113">
        <f t="shared" si="39"/>
        <v>0</v>
      </c>
      <c r="P198" s="113">
        <f t="shared" si="40"/>
        <v>0</v>
      </c>
    </row>
    <row r="199" spans="9:16">
      <c r="I199" s="213"/>
      <c r="J199" s="113">
        <f t="shared" si="36"/>
        <v>0</v>
      </c>
      <c r="K199" s="213"/>
      <c r="L199" s="84"/>
      <c r="M199" s="84"/>
      <c r="N199" s="113">
        <f t="shared" si="35"/>
        <v>0</v>
      </c>
      <c r="O199" s="113">
        <f t="shared" si="39"/>
        <v>0</v>
      </c>
      <c r="P199" s="113">
        <f t="shared" si="40"/>
        <v>0</v>
      </c>
    </row>
    <row r="200" spans="9:16">
      <c r="I200" s="213"/>
      <c r="J200" s="113">
        <f t="shared" si="36"/>
        <v>0</v>
      </c>
      <c r="K200" s="213"/>
      <c r="L200" s="84"/>
      <c r="M200" s="84"/>
      <c r="N200" s="113">
        <f t="shared" si="35"/>
        <v>0</v>
      </c>
      <c r="O200" s="113">
        <f t="shared" si="39"/>
        <v>0</v>
      </c>
      <c r="P200" s="113">
        <f t="shared" si="40"/>
        <v>0</v>
      </c>
    </row>
    <row r="201" spans="9:16">
      <c r="I201" s="213"/>
      <c r="J201" s="113">
        <f t="shared" si="36"/>
        <v>0</v>
      </c>
      <c r="K201" s="213"/>
      <c r="L201" s="84"/>
      <c r="M201" s="84"/>
      <c r="N201" s="113">
        <f t="shared" si="35"/>
        <v>0</v>
      </c>
      <c r="O201" s="113">
        <f t="shared" si="39"/>
        <v>0</v>
      </c>
      <c r="P201" s="113">
        <f t="shared" si="40"/>
        <v>0</v>
      </c>
    </row>
    <row r="202" spans="9:16">
      <c r="I202" s="213"/>
      <c r="J202" s="113">
        <f t="shared" si="36"/>
        <v>0</v>
      </c>
      <c r="K202" s="213"/>
      <c r="L202" s="84"/>
      <c r="M202" s="84"/>
      <c r="N202" s="113">
        <f t="shared" si="35"/>
        <v>0</v>
      </c>
      <c r="O202" s="113">
        <f t="shared" si="39"/>
        <v>0</v>
      </c>
      <c r="P202" s="113">
        <f t="shared" si="40"/>
        <v>0</v>
      </c>
    </row>
    <row r="203" spans="9:16">
      <c r="I203" s="213"/>
      <c r="J203" s="113">
        <f t="shared" si="36"/>
        <v>0</v>
      </c>
      <c r="K203" s="213"/>
      <c r="L203" s="84"/>
      <c r="M203" s="84"/>
      <c r="N203" s="113">
        <f t="shared" si="35"/>
        <v>0</v>
      </c>
      <c r="O203" s="113">
        <f t="shared" si="39"/>
        <v>0</v>
      </c>
      <c r="P203" s="113">
        <f t="shared" si="40"/>
        <v>0</v>
      </c>
    </row>
    <row r="204" spans="9:16">
      <c r="I204" s="213"/>
      <c r="J204" s="113">
        <f t="shared" si="36"/>
        <v>0</v>
      </c>
      <c r="K204" s="213">
        <v>0</v>
      </c>
      <c r="L204" s="84">
        <v>0</v>
      </c>
      <c r="M204" s="84">
        <v>0</v>
      </c>
      <c r="N204" s="113">
        <f t="shared" si="35"/>
        <v>0</v>
      </c>
      <c r="O204" s="113">
        <f t="shared" si="39"/>
        <v>0</v>
      </c>
      <c r="P204" s="113">
        <f t="shared" si="40"/>
        <v>0</v>
      </c>
    </row>
    <row r="205" spans="9:16">
      <c r="I205" s="213"/>
      <c r="J205" s="113">
        <f t="shared" si="36"/>
        <v>0</v>
      </c>
      <c r="K205" s="213">
        <v>0</v>
      </c>
      <c r="L205" s="84">
        <v>0</v>
      </c>
      <c r="M205" s="84">
        <v>0</v>
      </c>
      <c r="N205" s="113">
        <f t="shared" si="35"/>
        <v>0</v>
      </c>
      <c r="O205" s="113">
        <f t="shared" si="39"/>
        <v>0</v>
      </c>
      <c r="P205" s="113">
        <f t="shared" si="40"/>
        <v>0</v>
      </c>
    </row>
    <row r="206" spans="9:16">
      <c r="I206" s="213"/>
      <c r="J206" s="113">
        <f t="shared" si="36"/>
        <v>0</v>
      </c>
      <c r="K206" s="213"/>
      <c r="L206" s="84">
        <v>0</v>
      </c>
      <c r="M206" s="84"/>
      <c r="N206" s="213">
        <f t="shared" si="35"/>
        <v>0</v>
      </c>
      <c r="O206" s="113">
        <f t="shared" si="39"/>
        <v>0</v>
      </c>
      <c r="P206" s="113">
        <f t="shared" si="40"/>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5096</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2019-08-26T10:09:58Z</dcterms:modified>
</cp:coreProperties>
</file>