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activeTab="1"/>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O333" i="52" l="1"/>
  <c r="S217" i="18" l="1"/>
  <c r="J333" i="52" l="1"/>
  <c r="M101" i="63" l="1"/>
  <c r="P332" i="52"/>
  <c r="J332" i="52"/>
  <c r="G114" i="63"/>
  <c r="G113" i="63"/>
  <c r="H113" i="63"/>
  <c r="I113" i="63"/>
  <c r="H114" i="63"/>
  <c r="I114" i="63"/>
  <c r="G115" i="63"/>
  <c r="H115" i="63"/>
  <c r="I115" i="63"/>
  <c r="M102" i="63"/>
  <c r="C112" i="63"/>
  <c r="G110" i="63"/>
  <c r="H110" i="63"/>
  <c r="I110" i="63"/>
  <c r="N330" i="52" l="1"/>
  <c r="O330" i="52"/>
  <c r="N331" i="52"/>
  <c r="O331" i="52"/>
  <c r="N332" i="52"/>
  <c r="O332" i="52"/>
  <c r="N333" i="52"/>
  <c r="P333" i="52" s="1"/>
  <c r="N334" i="52"/>
  <c r="O334" i="52"/>
  <c r="N335" i="52"/>
  <c r="P335" i="52" s="1"/>
  <c r="O335" i="52"/>
  <c r="N336" i="52"/>
  <c r="O336" i="52"/>
  <c r="P336" i="52"/>
  <c r="N337" i="52"/>
  <c r="O337" i="52"/>
  <c r="P337" i="52"/>
  <c r="N338" i="52"/>
  <c r="O338" i="52"/>
  <c r="P338" i="52"/>
  <c r="N339" i="52"/>
  <c r="P339" i="52" s="1"/>
  <c r="O339" i="52"/>
  <c r="N340" i="52"/>
  <c r="P340" i="52" s="1"/>
  <c r="O340" i="52"/>
  <c r="N341" i="52"/>
  <c r="O341" i="52"/>
  <c r="P341" i="52"/>
  <c r="N342" i="52"/>
  <c r="P342" i="52" s="1"/>
  <c r="O342" i="52"/>
  <c r="N343" i="52"/>
  <c r="P343" i="52" s="1"/>
  <c r="O343" i="52"/>
  <c r="N344" i="52"/>
  <c r="O344" i="52"/>
  <c r="P344" i="52"/>
  <c r="N345" i="52"/>
  <c r="O345" i="52"/>
  <c r="P345" i="52"/>
  <c r="N346" i="52"/>
  <c r="O346" i="52"/>
  <c r="P346" i="52"/>
  <c r="N347" i="52"/>
  <c r="P347" i="52" s="1"/>
  <c r="O347" i="52"/>
  <c r="N348" i="52"/>
  <c r="P348" i="52" s="1"/>
  <c r="O348" i="52"/>
  <c r="N349" i="52"/>
  <c r="O349" i="52"/>
  <c r="P349" i="52"/>
  <c r="N350" i="52"/>
  <c r="P350" i="52" s="1"/>
  <c r="O350" i="52"/>
  <c r="N351" i="52"/>
  <c r="P351" i="52" s="1"/>
  <c r="O351" i="52"/>
  <c r="N352" i="52"/>
  <c r="O352" i="52"/>
  <c r="P352" i="52"/>
  <c r="N353" i="52"/>
  <c r="O353" i="52"/>
  <c r="P353" i="52"/>
  <c r="N354" i="52"/>
  <c r="O354" i="52"/>
  <c r="P354" i="52"/>
  <c r="N355" i="52"/>
  <c r="P355" i="52" s="1"/>
  <c r="O355" i="52"/>
  <c r="N356" i="52"/>
  <c r="P356" i="52" s="1"/>
  <c r="O356" i="52"/>
  <c r="N357" i="52"/>
  <c r="O357" i="52"/>
  <c r="P357" i="52"/>
  <c r="N358" i="52"/>
  <c r="P358" i="52" s="1"/>
  <c r="O358" i="52"/>
  <c r="N359" i="52"/>
  <c r="P359" i="52" s="1"/>
  <c r="O359" i="52"/>
  <c r="N360" i="52"/>
  <c r="O360" i="52"/>
  <c r="P360" i="52"/>
  <c r="N361" i="52"/>
  <c r="O361" i="52"/>
  <c r="P361" i="52"/>
  <c r="N362" i="52"/>
  <c r="O362" i="52"/>
  <c r="P362" i="52"/>
  <c r="N363" i="52"/>
  <c r="P363" i="52" s="1"/>
  <c r="O363" i="52"/>
  <c r="N364" i="52"/>
  <c r="P364" i="52" s="1"/>
  <c r="O364" i="52"/>
  <c r="N365" i="52"/>
  <c r="O365" i="52"/>
  <c r="P365" i="52"/>
  <c r="N366" i="52"/>
  <c r="P366" i="52" s="1"/>
  <c r="O366" i="52"/>
  <c r="N367" i="52"/>
  <c r="P367" i="52" s="1"/>
  <c r="O367" i="52"/>
  <c r="N368" i="52"/>
  <c r="O368" i="52"/>
  <c r="P368" i="52"/>
  <c r="J330" i="52"/>
  <c r="J331" i="52"/>
  <c r="J334" i="52"/>
  <c r="J335" i="52"/>
  <c r="J336" i="52"/>
  <c r="J337" i="52"/>
  <c r="J338" i="52"/>
  <c r="J339" i="52"/>
  <c r="J340" i="52"/>
  <c r="J341" i="52"/>
  <c r="J342" i="52"/>
  <c r="J343" i="52"/>
  <c r="J344" i="52"/>
  <c r="J345" i="52"/>
  <c r="J346" i="52"/>
  <c r="J347" i="52"/>
  <c r="J348" i="52"/>
  <c r="J349" i="52"/>
  <c r="J350" i="52"/>
  <c r="J351" i="52"/>
  <c r="J352" i="52"/>
  <c r="J353" i="52"/>
  <c r="J354" i="52"/>
  <c r="J355" i="52"/>
  <c r="J356" i="52"/>
  <c r="J357" i="52"/>
  <c r="J358" i="52"/>
  <c r="J359" i="52"/>
  <c r="J360" i="52"/>
  <c r="J361" i="52"/>
  <c r="J362" i="52"/>
  <c r="J363" i="52"/>
  <c r="J364" i="52"/>
  <c r="J365" i="52"/>
  <c r="J366" i="52"/>
  <c r="J367" i="52"/>
  <c r="J368" i="52"/>
  <c r="M76" i="63"/>
  <c r="P334" i="52" l="1"/>
  <c r="P331" i="52"/>
  <c r="J327" i="52"/>
  <c r="O327" i="52"/>
  <c r="N76" i="63" l="1"/>
  <c r="C107" i="63" s="1"/>
  <c r="C108" i="63" l="1"/>
  <c r="C105" i="63"/>
  <c r="C100" i="63"/>
  <c r="C95" i="63"/>
  <c r="C106" i="63"/>
  <c r="C96" i="63"/>
  <c r="C104" i="63"/>
  <c r="C97" i="63"/>
  <c r="C101" i="63"/>
  <c r="C90" i="63"/>
  <c r="C98" i="63"/>
  <c r="C102" i="63"/>
  <c r="C93" i="63"/>
  <c r="C99" i="63"/>
  <c r="C103" i="63"/>
  <c r="L14" i="60"/>
  <c r="G111" i="63" l="1"/>
  <c r="G112" i="63"/>
  <c r="G106" i="63"/>
  <c r="H106" i="63"/>
  <c r="I106" i="63"/>
  <c r="G107" i="63"/>
  <c r="H107" i="63"/>
  <c r="I107" i="63"/>
  <c r="G108" i="63"/>
  <c r="H108" i="63"/>
  <c r="I108" i="63"/>
  <c r="G109" i="63"/>
  <c r="H109" i="63"/>
  <c r="I109" i="63"/>
  <c r="G105" i="63"/>
  <c r="H111" i="63" l="1"/>
  <c r="I111" i="63"/>
  <c r="I112" i="63"/>
  <c r="H112" i="63"/>
  <c r="I105" i="63"/>
  <c r="H105" i="63"/>
  <c r="N101" i="63" l="1"/>
  <c r="N102" i="63"/>
  <c r="G101" i="63"/>
  <c r="H101" i="63"/>
  <c r="I101" i="63"/>
  <c r="G102" i="63"/>
  <c r="H102" i="63"/>
  <c r="I102" i="63"/>
  <c r="G103" i="63"/>
  <c r="H103" i="63"/>
  <c r="I103" i="63"/>
  <c r="G104" i="63"/>
  <c r="H104" i="63"/>
  <c r="I104" i="63"/>
  <c r="P23" i="18" l="1"/>
  <c r="N23" i="18" s="1"/>
  <c r="G100" i="63" l="1"/>
  <c r="H100" i="63"/>
  <c r="I100" i="63"/>
  <c r="N42" i="18" l="1"/>
  <c r="M102" i="18" s="1"/>
  <c r="F48" i="60" l="1"/>
  <c r="F47" i="60"/>
  <c r="D48" i="60"/>
  <c r="D47" i="60"/>
  <c r="Y113" i="63" l="1"/>
  <c r="Y99" i="63"/>
  <c r="Y98" i="63"/>
  <c r="Y97" i="63"/>
  <c r="X110" i="63"/>
  <c r="Y110" i="63" s="1"/>
  <c r="I99" i="63"/>
  <c r="H99" i="63"/>
  <c r="G99" i="63"/>
  <c r="I98" i="63"/>
  <c r="H98" i="63"/>
  <c r="G98" i="63"/>
  <c r="I97" i="63"/>
  <c r="H97" i="63"/>
  <c r="G97" i="63"/>
  <c r="I96" i="63"/>
  <c r="H96" i="63"/>
  <c r="G96" i="63"/>
  <c r="I95" i="63"/>
  <c r="H95" i="63"/>
  <c r="G95" i="63"/>
  <c r="I94" i="63"/>
  <c r="H94" i="63"/>
  <c r="G94" i="63"/>
  <c r="J319" i="52"/>
  <c r="I93" i="63"/>
  <c r="H93" i="63"/>
  <c r="G93" i="63"/>
  <c r="O319" i="52" l="1"/>
  <c r="AL226" i="18" l="1"/>
  <c r="AM226" i="18" s="1"/>
  <c r="AL227" i="18"/>
  <c r="AM227" i="18" s="1"/>
  <c r="AL228" i="18"/>
  <c r="AM228" i="18" s="1"/>
  <c r="AL229" i="18"/>
  <c r="AM229" i="18" s="1"/>
  <c r="AL230" i="18"/>
  <c r="AM230" i="18" s="1"/>
  <c r="AL231" i="18"/>
  <c r="AM231" i="18" s="1"/>
  <c r="AL232" i="18"/>
  <c r="AM232" i="18" s="1"/>
  <c r="G91" i="63"/>
  <c r="H91" i="63"/>
  <c r="I91" i="63"/>
  <c r="G92" i="63"/>
  <c r="H92" i="63"/>
  <c r="I92" i="63"/>
  <c r="X98" i="63" l="1"/>
  <c r="I90" i="63"/>
  <c r="G88" i="63"/>
  <c r="G90" i="63"/>
  <c r="G89" i="63"/>
  <c r="G87" i="63"/>
  <c r="G86" i="63"/>
  <c r="G85" i="63"/>
  <c r="H90" i="63"/>
  <c r="H89" i="63"/>
  <c r="I89" i="63"/>
  <c r="H88" i="63"/>
  <c r="I88" i="63"/>
  <c r="H81" i="63" l="1"/>
  <c r="H77" i="63"/>
  <c r="I87" i="63"/>
  <c r="H87" i="63"/>
  <c r="G77" i="63"/>
  <c r="G78" i="63"/>
  <c r="G79" i="63"/>
  <c r="G80" i="63"/>
  <c r="G81" i="63"/>
  <c r="G82" i="63"/>
  <c r="G83" i="63"/>
  <c r="G84" i="63"/>
  <c r="H85" i="63"/>
  <c r="I85" i="63"/>
  <c r="I84" i="63"/>
  <c r="H84" i="63"/>
  <c r="N44" i="18"/>
  <c r="W312" i="18" l="1"/>
  <c r="H86" i="63"/>
  <c r="I86" i="63" l="1"/>
  <c r="G137" i="18"/>
  <c r="J137" i="18" s="1"/>
  <c r="W331" i="18" l="1"/>
  <c r="H83" i="63"/>
  <c r="I83" i="63"/>
  <c r="H82" i="63"/>
  <c r="I82"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P319" i="52" s="1"/>
  <c r="N320" i="52"/>
  <c r="O320" i="52"/>
  <c r="N321" i="52"/>
  <c r="O321" i="52"/>
  <c r="N322" i="52"/>
  <c r="O322" i="52"/>
  <c r="N323" i="52"/>
  <c r="O323" i="52"/>
  <c r="N324" i="52"/>
  <c r="O324" i="52"/>
  <c r="N325" i="52"/>
  <c r="O325" i="52"/>
  <c r="N326" i="52"/>
  <c r="O326" i="52"/>
  <c r="N327" i="52"/>
  <c r="P327" i="52" s="1"/>
  <c r="N328" i="52"/>
  <c r="O328" i="52"/>
  <c r="N329" i="52"/>
  <c r="P330" i="52" s="1"/>
  <c r="O329" i="52"/>
  <c r="J311" i="52"/>
  <c r="J312" i="52"/>
  <c r="J313" i="52"/>
  <c r="J314" i="52"/>
  <c r="J315" i="52"/>
  <c r="J316" i="52"/>
  <c r="J317" i="52"/>
  <c r="J318" i="52"/>
  <c r="J320" i="52"/>
  <c r="J321" i="52"/>
  <c r="J322" i="52"/>
  <c r="J323" i="52"/>
  <c r="J324" i="52"/>
  <c r="J325" i="52"/>
  <c r="J326" i="52"/>
  <c r="J328" i="52"/>
  <c r="J329" i="52"/>
  <c r="P312" i="52" l="1"/>
  <c r="P318" i="52"/>
  <c r="P328" i="52"/>
  <c r="P326" i="52"/>
  <c r="P325" i="52"/>
  <c r="P322" i="52"/>
  <c r="P323" i="52"/>
  <c r="P320" i="52"/>
  <c r="P317" i="52"/>
  <c r="P316" i="52"/>
  <c r="P314" i="52"/>
  <c r="P311" i="52"/>
  <c r="P324" i="52"/>
  <c r="P321" i="52"/>
  <c r="P313" i="52"/>
  <c r="P329" i="52"/>
  <c r="P315" i="52"/>
  <c r="P22" i="18"/>
  <c r="N22" i="18" s="1"/>
  <c r="I81" i="63"/>
  <c r="H80" i="63"/>
  <c r="I80" i="63"/>
  <c r="H79"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F420" i="15" s="1"/>
  <c r="E420" i="15"/>
  <c r="D419" i="15" l="1"/>
  <c r="W330" i="18"/>
  <c r="D418" i="15" l="1"/>
  <c r="F419" i="15"/>
  <c r="F418" i="15" l="1"/>
  <c r="D417" i="15"/>
  <c r="I79" i="63"/>
  <c r="H78" i="63"/>
  <c r="I78" i="63"/>
  <c r="I77" i="63"/>
  <c r="W329" i="18"/>
  <c r="O305" i="52"/>
  <c r="J305" i="52"/>
  <c r="D416" i="15" l="1"/>
  <c r="F417" i="15"/>
  <c r="D415" i="15" l="1"/>
  <c r="F416" i="15"/>
  <c r="W328" i="18"/>
  <c r="W327" i="18"/>
  <c r="O302" i="52"/>
  <c r="J138" i="18"/>
  <c r="F415" i="15" l="1"/>
  <c r="D414" i="15"/>
  <c r="G136" i="18"/>
  <c r="D413" i="15" l="1"/>
  <c r="F414" i="15"/>
  <c r="V352" i="18"/>
  <c r="D412" i="15" l="1"/>
  <c r="F413" i="15"/>
  <c r="W326" i="18"/>
  <c r="O301" i="52"/>
  <c r="J136" i="18"/>
  <c r="F412" i="15" l="1"/>
  <c r="D411" i="15"/>
  <c r="J141" i="18"/>
  <c r="I141" i="18" s="1"/>
  <c r="D410" i="15" l="1"/>
  <c r="F411" i="15"/>
  <c r="W325" i="18"/>
  <c r="W324" i="18"/>
  <c r="J300" i="52"/>
  <c r="F410" i="15" l="1"/>
  <c r="D409" i="15"/>
  <c r="W323" i="18"/>
  <c r="O299" i="52"/>
  <c r="W322" i="18"/>
  <c r="W321"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44" i="18"/>
  <c r="X345" i="18" s="1"/>
  <c r="X340" i="18"/>
  <c r="X341" i="18" s="1"/>
  <c r="D408" i="15" l="1"/>
  <c r="F409" i="15"/>
  <c r="X343" i="18"/>
  <c r="X342" i="18"/>
  <c r="W320" i="18"/>
  <c r="U333" i="18"/>
  <c r="W319" i="18"/>
  <c r="W318" i="18"/>
  <c r="P26" i="18"/>
  <c r="N26" i="18" s="1"/>
  <c r="O298" i="52"/>
  <c r="D407" i="15" l="1"/>
  <c r="F408" i="15"/>
  <c r="W153" i="18"/>
  <c r="W149" i="18"/>
  <c r="W151" i="18"/>
  <c r="J298" i="52"/>
  <c r="AL222" i="18"/>
  <c r="AM222" i="18" s="1"/>
  <c r="AL223" i="18"/>
  <c r="AM223" i="18" s="1"/>
  <c r="AL224" i="18"/>
  <c r="AM224" i="18" s="1"/>
  <c r="AL225" i="18"/>
  <c r="AM225" i="18" s="1"/>
  <c r="F407" i="15" l="1"/>
  <c r="D406" i="15"/>
  <c r="O297" i="52"/>
  <c r="W317" i="18"/>
  <c r="W316" i="18"/>
  <c r="W315" i="18"/>
  <c r="D405" i="15" l="1"/>
  <c r="F406" i="15"/>
  <c r="T354" i="18"/>
  <c r="T356" i="18" s="1"/>
  <c r="W314" i="18"/>
  <c r="J296" i="52"/>
  <c r="D404" i="15" l="1"/>
  <c r="F405" i="15"/>
  <c r="J295" i="52"/>
  <c r="F404" i="15" l="1"/>
  <c r="D403" i="15"/>
  <c r="W313" i="18"/>
  <c r="D402" i="15" l="1"/>
  <c r="F403" i="15"/>
  <c r="O296" i="52"/>
  <c r="K107" i="18"/>
  <c r="N106" i="18"/>
  <c r="B422" i="15"/>
  <c r="B428" i="15" s="1"/>
  <c r="D135" i="58"/>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1" i="18"/>
  <c r="D396" i="15" l="1"/>
  <c r="F397" i="15"/>
  <c r="P40" i="18"/>
  <c r="N40" i="18" s="1"/>
  <c r="O286" i="52"/>
  <c r="L48" i="18"/>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P299" i="52" s="1"/>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300" i="52" l="1"/>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0" i="18"/>
  <c r="J279" i="52"/>
  <c r="AL220" i="18"/>
  <c r="AM220" i="18" s="1"/>
  <c r="D391" i="15" l="1"/>
  <c r="F392" i="15"/>
  <c r="J278" i="52"/>
  <c r="O278" i="52"/>
  <c r="F391" i="15" l="1"/>
  <c r="D390" i="15"/>
  <c r="I153" i="18"/>
  <c r="J277" i="52"/>
  <c r="O277" i="52"/>
  <c r="D389" i="15" l="1"/>
  <c r="F390" i="15"/>
  <c r="I155" i="18"/>
  <c r="E366" i="15"/>
  <c r="E367" i="15"/>
  <c r="E368" i="15"/>
  <c r="E369" i="15"/>
  <c r="E370" i="15"/>
  <c r="E371" i="15"/>
  <c r="E372" i="15"/>
  <c r="E373" i="15"/>
  <c r="E374" i="15"/>
  <c r="E375" i="15"/>
  <c r="E376" i="15"/>
  <c r="E377" i="15"/>
  <c r="O276" i="52"/>
  <c r="J276" i="52"/>
  <c r="W309" i="18"/>
  <c r="D388" i="15" l="1"/>
  <c r="F389" i="15"/>
  <c r="J275" i="52"/>
  <c r="F388" i="15" l="1"/>
  <c r="D387" i="15"/>
  <c r="W308" i="18"/>
  <c r="D386" i="15" l="1"/>
  <c r="F387" i="15"/>
  <c r="J274" i="52"/>
  <c r="F386" i="15" l="1"/>
  <c r="D385" i="15"/>
  <c r="W307" i="18"/>
  <c r="D384" i="15" l="1"/>
  <c r="F385" i="15"/>
  <c r="J271" i="52"/>
  <c r="D383" i="15" l="1"/>
  <c r="F384" i="15"/>
  <c r="J149" i="18"/>
  <c r="W306" i="18"/>
  <c r="G148" i="18"/>
  <c r="J148" i="18" s="1"/>
  <c r="N41" i="18"/>
  <c r="F383" i="15" l="1"/>
  <c r="D382" i="15"/>
  <c r="O269" i="52"/>
  <c r="F382" i="15" l="1"/>
  <c r="D381" i="15"/>
  <c r="J268" i="52"/>
  <c r="N268" i="52"/>
  <c r="W305"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4" i="18"/>
  <c r="W303"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2"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69" i="52"/>
  <c r="N369" i="52"/>
  <c r="O369" i="52"/>
  <c r="D368" i="15" l="1"/>
  <c r="F369" i="15"/>
  <c r="P247" i="52"/>
  <c r="P245" i="52"/>
  <c r="P369" i="52"/>
  <c r="P252" i="52"/>
  <c r="P251" i="52"/>
  <c r="P249" i="52"/>
  <c r="P250" i="52"/>
  <c r="P248" i="52"/>
  <c r="P246" i="52"/>
  <c r="P244" i="52"/>
  <c r="P243" i="52"/>
  <c r="P242" i="52"/>
  <c r="P241" i="52"/>
  <c r="J238" i="52"/>
  <c r="F368" i="15" l="1"/>
  <c r="D367" i="15"/>
  <c r="J233" i="52"/>
  <c r="D366" i="15" l="1"/>
  <c r="F367" i="15"/>
  <c r="N230" i="52"/>
  <c r="F366" i="15" l="1"/>
  <c r="D365" i="15"/>
  <c r="O227" i="52"/>
  <c r="W301" i="18"/>
  <c r="W300" i="18"/>
  <c r="W299" i="18"/>
  <c r="D364" i="15" l="1"/>
  <c r="F365" i="15"/>
  <c r="O223" i="52"/>
  <c r="W298" i="18"/>
  <c r="F364" i="15" l="1"/>
  <c r="D363" i="15"/>
  <c r="J222" i="52"/>
  <c r="W297" i="18"/>
  <c r="D362" i="15" l="1"/>
  <c r="F363" i="15"/>
  <c r="W296" i="18"/>
  <c r="W295" i="18"/>
  <c r="D361" i="15" l="1"/>
  <c r="F362" i="15"/>
  <c r="O220" i="52"/>
  <c r="F361" i="15" l="1"/>
  <c r="D360" i="15"/>
  <c r="W294" i="18"/>
  <c r="W293" i="18"/>
  <c r="F360" i="15" l="1"/>
  <c r="D359" i="15"/>
  <c r="J218" i="52"/>
  <c r="D358" i="15" l="1"/>
  <c r="F359" i="15"/>
  <c r="F358" i="15" l="1"/>
  <c r="D357" i="15"/>
  <c r="J217" i="52"/>
  <c r="D356" i="15" l="1"/>
  <c r="F357" i="15"/>
  <c r="P79"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1"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2"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7" i="18"/>
  <c r="J147" i="18" s="1"/>
  <c r="G146" i="18"/>
  <c r="J155" i="18" s="1"/>
  <c r="W291" i="18"/>
  <c r="J154" i="18" l="1"/>
  <c r="J157" i="18" s="1"/>
  <c r="J153" i="18"/>
  <c r="J146" i="18"/>
  <c r="I150" i="18" s="1"/>
  <c r="F348" i="15"/>
  <c r="D347" i="15"/>
  <c r="O210" i="52"/>
  <c r="W290" i="18"/>
  <c r="D346" i="15" l="1"/>
  <c r="F347" i="15"/>
  <c r="J210" i="52"/>
  <c r="D345" i="15" l="1"/>
  <c r="F346" i="15"/>
  <c r="J209" i="52"/>
  <c r="O208" i="52"/>
  <c r="J208" i="52"/>
  <c r="D344" i="15" l="1"/>
  <c r="F345" i="15"/>
  <c r="W289" i="18"/>
  <c r="F344" i="15" l="1"/>
  <c r="D343" i="15"/>
  <c r="O207" i="52"/>
  <c r="J207" i="52"/>
  <c r="W288" i="18"/>
  <c r="D342" i="15" l="1"/>
  <c r="F343" i="15"/>
  <c r="W287" i="18"/>
  <c r="D341" i="15" l="1"/>
  <c r="F342" i="15"/>
  <c r="W286" i="18"/>
  <c r="D340" i="15" l="1"/>
  <c r="F341" i="15"/>
  <c r="O204" i="52"/>
  <c r="F340" i="15" l="1"/>
  <c r="D339" i="15"/>
  <c r="J203" i="52"/>
  <c r="W285"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18" i="18"/>
  <c r="J118" i="18" s="1"/>
  <c r="D337" i="15" l="1"/>
  <c r="F338" i="15"/>
  <c r="W284" i="18"/>
  <c r="W283" i="18"/>
  <c r="W282" i="18"/>
  <c r="J202" i="52"/>
  <c r="D336" i="15" l="1"/>
  <c r="F337" i="15"/>
  <c r="W281" i="18"/>
  <c r="J201" i="52"/>
  <c r="W280" i="18"/>
  <c r="F336" i="15" l="1"/>
  <c r="D335" i="15"/>
  <c r="J200" i="52"/>
  <c r="D334" i="15" l="1"/>
  <c r="F335" i="15"/>
  <c r="W279" i="18"/>
  <c r="W278" i="18"/>
  <c r="AL233" i="18"/>
  <c r="AL221" i="18" s="1"/>
  <c r="AM221" i="18" s="1"/>
  <c r="F334" i="15" l="1"/>
  <c r="D333" i="15"/>
  <c r="AM233" i="18"/>
  <c r="W277"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76" i="18"/>
  <c r="AM217" i="18" l="1"/>
  <c r="AL216" i="18"/>
  <c r="F330" i="15"/>
  <c r="D329" i="15"/>
  <c r="AM216" i="18" l="1"/>
  <c r="AL215" i="18"/>
  <c r="D328" i="15"/>
  <c r="F329" i="15"/>
  <c r="W275" i="18"/>
  <c r="AL214" i="18" l="1"/>
  <c r="AM215" i="18"/>
  <c r="D327" i="15"/>
  <c r="F328" i="15"/>
  <c r="W274" i="18"/>
  <c r="AM214" i="18" l="1"/>
  <c r="AL213" i="18"/>
  <c r="F327" i="15"/>
  <c r="D326" i="15"/>
  <c r="AL212" i="18" l="1"/>
  <c r="AM213" i="18"/>
  <c r="F326" i="15"/>
  <c r="D325" i="15"/>
  <c r="J195" i="52"/>
  <c r="O195" i="52"/>
  <c r="J194" i="52"/>
  <c r="W273" i="18"/>
  <c r="AL211" i="18" l="1"/>
  <c r="AM212" i="18"/>
  <c r="F325" i="15"/>
  <c r="D324" i="15"/>
  <c r="N194" i="52"/>
  <c r="W272" i="18"/>
  <c r="W271" i="18"/>
  <c r="AL210" i="18" l="1"/>
  <c r="AM211" i="18"/>
  <c r="F324" i="15"/>
  <c r="D323" i="15"/>
  <c r="W270" i="18"/>
  <c r="AM210" i="18" l="1"/>
  <c r="AL209" i="18"/>
  <c r="F323" i="15"/>
  <c r="D322" i="15"/>
  <c r="R144" i="18"/>
  <c r="AL208" i="18" l="1"/>
  <c r="AM209" i="18"/>
  <c r="F322" i="15"/>
  <c r="D321" i="15"/>
  <c r="W269" i="18"/>
  <c r="AM208" i="18" l="1"/>
  <c r="AL207" i="18"/>
  <c r="F321" i="15"/>
  <c r="D320" i="15"/>
  <c r="W268" i="18"/>
  <c r="O190" i="52"/>
  <c r="J190" i="52"/>
  <c r="AL206" i="18" l="1"/>
  <c r="AM207" i="18"/>
  <c r="F320" i="15"/>
  <c r="D319" i="15"/>
  <c r="W267" i="18"/>
  <c r="AM206" i="18" l="1"/>
  <c r="AL205" i="18"/>
  <c r="F319" i="15"/>
  <c r="D318" i="15"/>
  <c r="N48" i="18"/>
  <c r="N46" i="18"/>
  <c r="AM205" i="18" l="1"/>
  <c r="AL204" i="18"/>
  <c r="F318" i="15"/>
  <c r="D317" i="15"/>
  <c r="O187" i="52"/>
  <c r="W266" i="18"/>
  <c r="AM204" i="18" l="1"/>
  <c r="AL203" i="18"/>
  <c r="F317" i="15"/>
  <c r="D316" i="15"/>
  <c r="J186" i="52"/>
  <c r="W265" i="18"/>
  <c r="W253" i="18"/>
  <c r="W252" i="18"/>
  <c r="AM203" i="18" l="1"/>
  <c r="AL202" i="18"/>
  <c r="F316" i="15"/>
  <c r="D315" i="15"/>
  <c r="J185" i="52"/>
  <c r="W264" i="18"/>
  <c r="AM202" i="18" l="1"/>
  <c r="AL201" i="18"/>
  <c r="F315" i="15"/>
  <c r="D314" i="15"/>
  <c r="AL200" i="18" l="1"/>
  <c r="AM201" i="18"/>
  <c r="F314" i="15"/>
  <c r="D313" i="15"/>
  <c r="AL199" i="18" l="1"/>
  <c r="AM200" i="18"/>
  <c r="F313" i="15"/>
  <c r="D312" i="15"/>
  <c r="N181" i="52"/>
  <c r="AL198" i="18" l="1"/>
  <c r="AM199" i="18"/>
  <c r="F312" i="15"/>
  <c r="D311" i="15"/>
  <c r="W263" i="18"/>
  <c r="B8" i="36"/>
  <c r="AL197" i="18" l="1"/>
  <c r="AM198" i="18"/>
  <c r="F311" i="15"/>
  <c r="D310" i="15"/>
  <c r="O178" i="52"/>
  <c r="J178" i="52"/>
  <c r="AM197" i="18" l="1"/>
  <c r="AL196" i="18"/>
  <c r="F310" i="15"/>
  <c r="D309" i="15"/>
  <c r="N43" i="18"/>
  <c r="M101" i="18" s="1"/>
  <c r="W262" i="18"/>
  <c r="O177" i="52"/>
  <c r="J177" i="52"/>
  <c r="AM196" i="18" l="1"/>
  <c r="AL195" i="18"/>
  <c r="F309" i="15"/>
  <c r="D308" i="15"/>
  <c r="O176" i="52"/>
  <c r="J176" i="52"/>
  <c r="AM195" i="18" l="1"/>
  <c r="AL194" i="18"/>
  <c r="F308" i="15"/>
  <c r="D307" i="15"/>
  <c r="F307" i="15" s="1"/>
  <c r="AM194" i="18" l="1"/>
  <c r="AL193" i="18"/>
  <c r="J174" i="52"/>
  <c r="W261" i="18"/>
  <c r="AM193" i="18" l="1"/>
  <c r="AL192" i="18"/>
  <c r="J168" i="52"/>
  <c r="O168" i="52"/>
  <c r="W260" i="18"/>
  <c r="AM192" i="18" l="1"/>
  <c r="AL191" i="18"/>
  <c r="AM191" i="18" s="1"/>
  <c r="AL403" i="18"/>
  <c r="AL402" i="18" s="1"/>
  <c r="O167" i="52"/>
  <c r="W259" i="18"/>
  <c r="AL401" i="18" l="1"/>
  <c r="AM402" i="18"/>
  <c r="AM403" i="18"/>
  <c r="O166" i="52"/>
  <c r="W258" i="18"/>
  <c r="AM401" i="18" l="1"/>
  <c r="AL400" i="18"/>
  <c r="W257" i="18"/>
  <c r="O165" i="52"/>
  <c r="J165" i="52"/>
  <c r="AL399" i="18" l="1"/>
  <c r="AM400" i="18"/>
  <c r="C7" i="60"/>
  <c r="D3" i="60"/>
  <c r="D4" i="60"/>
  <c r="D5" i="60"/>
  <c r="D2" i="60"/>
  <c r="F2" i="60"/>
  <c r="AM399" i="18" l="1"/>
  <c r="AL398" i="18"/>
  <c r="O162" i="52"/>
  <c r="J162" i="52"/>
  <c r="W256" i="18"/>
  <c r="AL397" i="18" l="1"/>
  <c r="AM398"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97" i="18" l="1"/>
  <c r="AL396" i="18"/>
  <c r="P202" i="52"/>
  <c r="P203" i="52"/>
  <c r="P204" i="52"/>
  <c r="P201" i="52"/>
  <c r="P200" i="52"/>
  <c r="P190" i="52"/>
  <c r="P187" i="52"/>
  <c r="P177" i="52"/>
  <c r="P186" i="52"/>
  <c r="P185" i="52"/>
  <c r="P176" i="52"/>
  <c r="P162" i="52"/>
  <c r="P166" i="52"/>
  <c r="P174" i="52"/>
  <c r="P168" i="52"/>
  <c r="P165" i="52"/>
  <c r="P167" i="52"/>
  <c r="O160" i="52"/>
  <c r="J160" i="52"/>
  <c r="N160" i="52"/>
  <c r="AL395" i="18" l="1"/>
  <c r="AM396" i="18"/>
  <c r="W255" i="18"/>
  <c r="AM395" i="18" l="1"/>
  <c r="AL394" i="18"/>
  <c r="W254" i="18"/>
  <c r="AM394" i="18" l="1"/>
  <c r="AL393" i="18"/>
  <c r="AL190" i="18"/>
  <c r="AM393" i="18" l="1"/>
  <c r="AL392" i="18"/>
  <c r="AL189" i="18"/>
  <c r="AM190" i="18"/>
  <c r="N159" i="52"/>
  <c r="P160" i="52" s="1"/>
  <c r="W251" i="18"/>
  <c r="AL391" i="18" l="1"/>
  <c r="AM39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L390" i="18" l="1"/>
  <c r="AM391" i="18"/>
  <c r="AL187" i="18"/>
  <c r="AM188" i="18"/>
  <c r="AM390" i="18" l="1"/>
  <c r="AL389" i="18"/>
  <c r="AM187" i="18"/>
  <c r="AL186" i="18"/>
  <c r="J151" i="52"/>
  <c r="AM389" i="18" l="1"/>
  <c r="AL388" i="18"/>
  <c r="AL185" i="18"/>
  <c r="AM186" i="18"/>
  <c r="W250" i="18"/>
  <c r="W249" i="18"/>
  <c r="O150" i="52"/>
  <c r="AM388" i="18" l="1"/>
  <c r="AL387" i="18"/>
  <c r="AM185" i="18"/>
  <c r="AL184" i="18"/>
  <c r="AM387" i="18" l="1"/>
  <c r="AL386" i="18"/>
  <c r="AL183" i="18"/>
  <c r="AM184" i="18"/>
  <c r="Q146" i="52"/>
  <c r="J146" i="52"/>
  <c r="W248"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86" i="18" l="1"/>
  <c r="AL385" i="18"/>
  <c r="AM183" i="18"/>
  <c r="AL182" i="18"/>
  <c r="P151" i="52"/>
  <c r="P150" i="52"/>
  <c r="P157" i="52"/>
  <c r="P148" i="52"/>
  <c r="P158" i="52"/>
  <c r="P156" i="52"/>
  <c r="P155" i="52"/>
  <c r="P154" i="52"/>
  <c r="P153" i="52"/>
  <c r="P152" i="52"/>
  <c r="P149" i="52"/>
  <c r="P147" i="52"/>
  <c r="O145" i="52"/>
  <c r="J145" i="52"/>
  <c r="J144" i="52"/>
  <c r="J143" i="52"/>
  <c r="AL384" i="18" l="1"/>
  <c r="AM385" i="18"/>
  <c r="AL181" i="18"/>
  <c r="AM182" i="18"/>
  <c r="W247" i="18"/>
  <c r="AM384" i="18" l="1"/>
  <c r="AL383" i="18"/>
  <c r="AM181" i="18"/>
  <c r="AL180" i="18"/>
  <c r="G130" i="18"/>
  <c r="J130" i="18" s="1"/>
  <c r="J132" i="18" s="1"/>
  <c r="I132" i="18" s="1"/>
  <c r="G124" i="18"/>
  <c r="J124" i="18" s="1"/>
  <c r="W246" i="18"/>
  <c r="AM383" i="18" l="1"/>
  <c r="AL382" i="18"/>
  <c r="J126" i="18"/>
  <c r="I126" i="18" s="1"/>
  <c r="AM180" i="18"/>
  <c r="AL179" i="18"/>
  <c r="O142" i="52"/>
  <c r="J142" i="52"/>
  <c r="W245" i="18"/>
  <c r="AL381" i="18" l="1"/>
  <c r="AM382" i="18"/>
  <c r="AM179" i="18"/>
  <c r="AL178" i="18"/>
  <c r="AM178" i="18" s="1"/>
  <c r="O140" i="52"/>
  <c r="J140" i="52"/>
  <c r="W244" i="18"/>
  <c r="AM381" i="18" l="1"/>
  <c r="AL380" i="18"/>
  <c r="W243" i="18"/>
  <c r="W242" i="18"/>
  <c r="O139" i="52"/>
  <c r="J139" i="52"/>
  <c r="AL379" i="18" l="1"/>
  <c r="AM380" i="18"/>
  <c r="W241" i="18"/>
  <c r="AM379" i="18" l="1"/>
  <c r="AL378" i="18"/>
  <c r="AL377" i="18" l="1"/>
  <c r="AM378" i="18"/>
  <c r="M41" i="52"/>
  <c r="AL376" i="18" l="1"/>
  <c r="AM377" i="18"/>
  <c r="O135" i="52"/>
  <c r="J135" i="52"/>
  <c r="AM376" i="18" l="1"/>
  <c r="AL375" i="18"/>
  <c r="AL374" i="18" l="1"/>
  <c r="AM375" i="18"/>
  <c r="W240" i="18"/>
  <c r="AL373" i="18" l="1"/>
  <c r="AM374" i="18"/>
  <c r="O132" i="52"/>
  <c r="W239" i="18"/>
  <c r="AL372" i="18" l="1"/>
  <c r="AM373" i="18"/>
  <c r="O131" i="52"/>
  <c r="J3" i="60"/>
  <c r="J4" i="60"/>
  <c r="J5" i="60"/>
  <c r="J2" i="60"/>
  <c r="I9" i="60"/>
  <c r="I7" i="60"/>
  <c r="J7" i="60" s="1"/>
  <c r="AL371" i="18" l="1"/>
  <c r="AM372" i="18"/>
  <c r="O130" i="52"/>
  <c r="O129" i="52"/>
  <c r="W238" i="18"/>
  <c r="W237" i="18"/>
  <c r="AM371" i="18" l="1"/>
  <c r="AL370" i="18"/>
  <c r="N129" i="52"/>
  <c r="AM370" i="18" l="1"/>
  <c r="AL369" i="18"/>
  <c r="O127" i="52"/>
  <c r="AL368" i="18" l="1"/>
  <c r="AM369" i="18"/>
  <c r="J126" i="52"/>
  <c r="O126" i="52"/>
  <c r="W236" i="18"/>
  <c r="AL367" i="18" l="1"/>
  <c r="AM368" i="18"/>
  <c r="O125" i="52"/>
  <c r="J125" i="52"/>
  <c r="AL366" i="18" l="1"/>
  <c r="AM367" i="18"/>
  <c r="W235" i="18"/>
  <c r="AM366" i="18" l="1"/>
  <c r="AL36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4" i="18"/>
  <c r="AL364" i="18" l="1"/>
  <c r="AM365"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63" i="18" l="1"/>
  <c r="AM364" i="18"/>
  <c r="W233" i="18"/>
  <c r="AM363" i="18" l="1"/>
  <c r="AL362" i="18"/>
  <c r="AL361" i="18" l="1"/>
  <c r="AM362" i="18"/>
  <c r="O121" i="52"/>
  <c r="J121" i="52"/>
  <c r="W232" i="18"/>
  <c r="AM361" i="18" l="1"/>
  <c r="AL360" i="18"/>
  <c r="W231" i="18"/>
  <c r="J120" i="52"/>
  <c r="AM360" i="18" l="1"/>
  <c r="AL359" i="18"/>
  <c r="AL358" i="18" l="1"/>
  <c r="AM359" i="18"/>
  <c r="O117" i="52"/>
  <c r="AM358" i="18" l="1"/>
  <c r="AL357" i="18"/>
  <c r="O116" i="52"/>
  <c r="N116" i="52"/>
  <c r="AL356" i="18" l="1"/>
  <c r="AM357" i="18"/>
  <c r="W230" i="18"/>
  <c r="AM356" i="18" l="1"/>
  <c r="AL35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55" i="18" l="1"/>
  <c r="AL354" i="18"/>
  <c r="AL353" i="18" l="1"/>
  <c r="AM354" i="18"/>
  <c r="AM353" i="18" l="1"/>
  <c r="AL352" i="18"/>
  <c r="AL351" i="18" l="1"/>
  <c r="AM352" i="18"/>
  <c r="O112" i="52"/>
  <c r="AM351" i="18" l="1"/>
  <c r="AL35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50" i="18" l="1"/>
  <c r="AL349" i="18"/>
  <c r="P120" i="52"/>
  <c r="P121" i="52"/>
  <c r="D305" i="15"/>
  <c r="F305" i="15" s="1"/>
  <c r="P112" i="52"/>
  <c r="P113" i="52"/>
  <c r="P118" i="52"/>
  <c r="P122" i="52"/>
  <c r="P119" i="52"/>
  <c r="P114" i="52"/>
  <c r="P115" i="52"/>
  <c r="O110" i="52"/>
  <c r="AL348" i="18" l="1"/>
  <c r="AM349" i="18"/>
  <c r="D304" i="15"/>
  <c r="F304" i="15" s="1"/>
  <c r="W229" i="18"/>
  <c r="J108" i="52"/>
  <c r="AL347" i="18" l="1"/>
  <c r="AM348" i="18"/>
  <c r="D303" i="15"/>
  <c r="F303" i="15" s="1"/>
  <c r="W228" i="18"/>
  <c r="W227" i="18"/>
  <c r="AL346" i="18" l="1"/>
  <c r="AM347" i="18"/>
  <c r="D302" i="15"/>
  <c r="F302" i="15" s="1"/>
  <c r="O106" i="52"/>
  <c r="J106" i="52"/>
  <c r="AL345" i="18" l="1"/>
  <c r="AM346" i="18"/>
  <c r="D301" i="15"/>
  <c r="F301" i="15" s="1"/>
  <c r="J104" i="52"/>
  <c r="G117" i="18"/>
  <c r="J117" i="18" s="1"/>
  <c r="J120" i="18" s="1"/>
  <c r="I120" i="18" s="1"/>
  <c r="E276" i="15"/>
  <c r="E277" i="15"/>
  <c r="E278" i="15"/>
  <c r="E279" i="15"/>
  <c r="E280" i="15"/>
  <c r="AM345" i="18" l="1"/>
  <c r="AL344" i="18"/>
  <c r="D300" i="15"/>
  <c r="F300" i="15" s="1"/>
  <c r="W226" i="18"/>
  <c r="AM344" i="18" l="1"/>
  <c r="AL343" i="18"/>
  <c r="D299" i="15"/>
  <c r="F299" i="15" s="1"/>
  <c r="E7" i="60"/>
  <c r="N3" i="60"/>
  <c r="J14" i="60" s="1"/>
  <c r="F3" i="60"/>
  <c r="F4" i="60"/>
  <c r="F5" i="60"/>
  <c r="F6" i="60"/>
  <c r="AL342" i="18" l="1"/>
  <c r="AM343" i="18"/>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25" i="18"/>
  <c r="AM342" i="18" l="1"/>
  <c r="AL34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41" i="18" l="1"/>
  <c r="AL340" i="18"/>
  <c r="K21" i="60"/>
  <c r="I23" i="60"/>
  <c r="D296" i="15"/>
  <c r="F296" i="15" s="1"/>
  <c r="AL339" i="18" l="1"/>
  <c r="AM340" i="18"/>
  <c r="D295" i="15"/>
  <c r="F295" i="15" s="1"/>
  <c r="AL338" i="18" l="1"/>
  <c r="AM33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337" i="18" l="1"/>
  <c r="AM338" i="18"/>
  <c r="P108" i="52"/>
  <c r="D293" i="15"/>
  <c r="F293" i="15" s="1"/>
  <c r="P111" i="52"/>
  <c r="P110" i="52"/>
  <c r="P106" i="52"/>
  <c r="P104" i="52"/>
  <c r="P107" i="52"/>
  <c r="P105" i="52"/>
  <c r="P99" i="52"/>
  <c r="P109" i="52"/>
  <c r="P103" i="52"/>
  <c r="P102" i="52"/>
  <c r="P101" i="52"/>
  <c r="P100" i="52"/>
  <c r="AL336" i="18" l="1"/>
  <c r="AM337" i="18"/>
  <c r="D292" i="15"/>
  <c r="F292" i="15" s="1"/>
  <c r="R366" i="18"/>
  <c r="J90" i="52"/>
  <c r="J95" i="52"/>
  <c r="W224" i="18"/>
  <c r="AJ234" i="18"/>
  <c r="AL335" i="18" l="1"/>
  <c r="AM336" i="18"/>
  <c r="D291" i="15"/>
  <c r="F291" i="15" s="1"/>
  <c r="F51" i="14"/>
  <c r="F52" i="14"/>
  <c r="F53" i="14"/>
  <c r="F54" i="14"/>
  <c r="F55" i="14"/>
  <c r="F56" i="14"/>
  <c r="F57" i="14"/>
  <c r="F58" i="14"/>
  <c r="F59" i="14"/>
  <c r="F60" i="14"/>
  <c r="F61" i="14"/>
  <c r="AL334" i="18" l="1"/>
  <c r="AM335" i="18"/>
  <c r="D290" i="15"/>
  <c r="F290" i="15" s="1"/>
  <c r="N92" i="52"/>
  <c r="O92" i="52"/>
  <c r="N93" i="52"/>
  <c r="O93" i="52"/>
  <c r="N94" i="52"/>
  <c r="O94" i="52"/>
  <c r="N95" i="52"/>
  <c r="O95" i="52"/>
  <c r="N96" i="52"/>
  <c r="O96" i="52"/>
  <c r="N97" i="52"/>
  <c r="O97" i="52"/>
  <c r="J92" i="52"/>
  <c r="J93" i="52"/>
  <c r="J94" i="52"/>
  <c r="J96" i="52"/>
  <c r="AM334" i="18" l="1"/>
  <c r="AL333" i="18"/>
  <c r="D289" i="15"/>
  <c r="F289" i="15" s="1"/>
  <c r="P97" i="52"/>
  <c r="P98" i="52"/>
  <c r="P95" i="52"/>
  <c r="P96" i="52"/>
  <c r="P94" i="52"/>
  <c r="P93" i="52"/>
  <c r="N91" i="52"/>
  <c r="P92" i="52" s="1"/>
  <c r="AL332" i="18" l="1"/>
  <c r="AM333" i="18"/>
  <c r="D288" i="15"/>
  <c r="F288" i="15" s="1"/>
  <c r="R270" i="18"/>
  <c r="T349" i="18" s="1"/>
  <c r="W223" i="18"/>
  <c r="W222" i="18"/>
  <c r="W221" i="18"/>
  <c r="M48" i="52"/>
  <c r="M47" i="52"/>
  <c r="N38" i="52"/>
  <c r="N37" i="52"/>
  <c r="M49" i="52"/>
  <c r="N50" i="52" s="1"/>
  <c r="AL331" i="18" l="1"/>
  <c r="AM332" i="18"/>
  <c r="D287" i="15"/>
  <c r="F287" i="15" s="1"/>
  <c r="N49" i="52"/>
  <c r="W220" i="18"/>
  <c r="AM331" i="18" l="1"/>
  <c r="AL330" i="18"/>
  <c r="D286" i="15"/>
  <c r="F286" i="15" s="1"/>
  <c r="AM330" i="18" l="1"/>
  <c r="AL329" i="18"/>
  <c r="D285" i="15"/>
  <c r="F285" i="15" s="1"/>
  <c r="W219" i="18"/>
  <c r="AM329" i="18" l="1"/>
  <c r="AL328" i="18"/>
  <c r="D284" i="15"/>
  <c r="F284" i="15" s="1"/>
  <c r="O90" i="52"/>
  <c r="O91" i="52"/>
  <c r="J91" i="52"/>
  <c r="AM328" i="18" l="1"/>
  <c r="AL327"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18" i="18"/>
  <c r="AL326" i="18" l="1"/>
  <c r="AM327" i="18"/>
  <c r="D282" i="15"/>
  <c r="F282" i="15" s="1"/>
  <c r="G32" i="57"/>
  <c r="H32" i="57"/>
  <c r="D32" i="57"/>
  <c r="I32" i="57" s="1"/>
  <c r="D345" i="20"/>
  <c r="W217" i="18"/>
  <c r="W216" i="18"/>
  <c r="AL325" i="18" l="1"/>
  <c r="AM326" i="18"/>
  <c r="D281" i="15"/>
  <c r="F281" i="15" s="1"/>
  <c r="W152"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324" i="18" l="1"/>
  <c r="AM325" i="18"/>
  <c r="D280" i="15"/>
  <c r="F280" i="15" s="1"/>
  <c r="C46" i="56"/>
  <c r="B46" i="56"/>
  <c r="AM324" i="18" l="1"/>
  <c r="AL323" i="18"/>
  <c r="D279" i="15"/>
  <c r="F279" i="15" s="1"/>
  <c r="O84" i="52"/>
  <c r="W215" i="18"/>
  <c r="D343" i="20"/>
  <c r="AM323" i="18" l="1"/>
  <c r="AL322" i="18"/>
  <c r="D278" i="15"/>
  <c r="F278" i="15" s="1"/>
  <c r="W214" i="18"/>
  <c r="D342" i="20"/>
  <c r="J83" i="52"/>
  <c r="O83" i="52"/>
  <c r="W213" i="18"/>
  <c r="W212" i="18"/>
  <c r="F44" i="14"/>
  <c r="F45" i="14"/>
  <c r="F46" i="14"/>
  <c r="F47" i="14"/>
  <c r="F48" i="14"/>
  <c r="F49" i="14"/>
  <c r="F50" i="14"/>
  <c r="D341" i="20"/>
  <c r="AL321" i="18" l="1"/>
  <c r="AM322" i="18"/>
  <c r="D277" i="15"/>
  <c r="F277" i="15" s="1"/>
  <c r="AJ404" i="18"/>
  <c r="AL320" i="18" l="1"/>
  <c r="AM321" i="18"/>
  <c r="D276" i="15"/>
  <c r="F276" i="15" s="1"/>
  <c r="W211" i="18"/>
  <c r="AL319" i="18" l="1"/>
  <c r="AM320" i="18"/>
  <c r="D340" i="20"/>
  <c r="W210" i="18"/>
  <c r="H337" i="20"/>
  <c r="H338" i="20"/>
  <c r="H339" i="20"/>
  <c r="H340" i="20"/>
  <c r="H341" i="20"/>
  <c r="H368" i="20"/>
  <c r="H369" i="20"/>
  <c r="D339" i="20"/>
  <c r="AL318" i="18" l="1"/>
  <c r="AM319" i="18"/>
  <c r="B371" i="20"/>
  <c r="D332" i="20"/>
  <c r="D333" i="20"/>
  <c r="D334" i="20"/>
  <c r="D335" i="20"/>
  <c r="D336" i="20"/>
  <c r="D337" i="20"/>
  <c r="D338" i="20"/>
  <c r="D369" i="20"/>
  <c r="AL317" i="18" l="1"/>
  <c r="AM318" i="18"/>
  <c r="W209" i="18"/>
  <c r="D80" i="57"/>
  <c r="AL316" i="18" l="1"/>
  <c r="AM317" i="18"/>
  <c r="G46" i="10"/>
  <c r="AL315" i="18" l="1"/>
  <c r="AM316" i="18"/>
  <c r="D331" i="20"/>
  <c r="AM315" i="18" l="1"/>
  <c r="AL314" i="18"/>
  <c r="D330" i="20"/>
  <c r="AM314" i="18" l="1"/>
  <c r="AL313" i="18"/>
  <c r="W208" i="18"/>
  <c r="W207" i="18"/>
  <c r="AM313" i="18" l="1"/>
  <c r="AL312" i="18"/>
  <c r="D329" i="20"/>
  <c r="AL311" i="18" l="1"/>
  <c r="AM312" i="18"/>
  <c r="L47" i="52"/>
  <c r="AM311" i="18" l="1"/>
  <c r="AL310" i="18"/>
  <c r="AL309" i="18" l="1"/>
  <c r="AM310" i="18"/>
  <c r="D328" i="20"/>
  <c r="D327" i="20"/>
  <c r="AM309" i="18" l="1"/>
  <c r="AL30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L307" i="18" l="1"/>
  <c r="AM308" i="18"/>
  <c r="P83" i="52"/>
  <c r="P91" i="52"/>
  <c r="P90" i="52"/>
  <c r="P82" i="52"/>
  <c r="P89" i="52"/>
  <c r="P88" i="52"/>
  <c r="P84" i="52"/>
  <c r="P80" i="52"/>
  <c r="P85" i="52"/>
  <c r="P81" i="52"/>
  <c r="P79" i="52"/>
  <c r="P86" i="52"/>
  <c r="P78" i="52"/>
  <c r="P77" i="52"/>
  <c r="P76" i="52"/>
  <c r="P75" i="52"/>
  <c r="AL306" i="18" l="1"/>
  <c r="AM307" i="18"/>
  <c r="D326" i="20"/>
  <c r="D325" i="20"/>
  <c r="AL305" i="18" l="1"/>
  <c r="AM306" i="18"/>
  <c r="H320" i="20"/>
  <c r="H321" i="20"/>
  <c r="H322" i="20"/>
  <c r="H323" i="20"/>
  <c r="H324" i="20"/>
  <c r="H325" i="20"/>
  <c r="H326" i="20"/>
  <c r="H327" i="20"/>
  <c r="H328" i="20"/>
  <c r="H329" i="20"/>
  <c r="H330" i="20"/>
  <c r="H331" i="20"/>
  <c r="H332" i="20"/>
  <c r="H333" i="20"/>
  <c r="H334" i="20"/>
  <c r="H335" i="20"/>
  <c r="H336" i="20"/>
  <c r="D324" i="20"/>
  <c r="D323" i="20"/>
  <c r="D322" i="20"/>
  <c r="D321" i="20"/>
  <c r="AL304" i="18" l="1"/>
  <c r="AM305" i="18"/>
  <c r="D320" i="20"/>
  <c r="D319" i="20"/>
  <c r="AM304" i="18" l="1"/>
  <c r="AL303" i="18"/>
  <c r="D318" i="20"/>
  <c r="D317" i="20"/>
  <c r="AL302" i="18" l="1"/>
  <c r="AM303" i="18"/>
  <c r="W206" i="18"/>
  <c r="W205" i="18"/>
  <c r="AL301" i="18" l="1"/>
  <c r="AM302" i="18"/>
  <c r="R167"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01" i="18" l="1"/>
  <c r="AL300" i="18"/>
  <c r="P70" i="52"/>
  <c r="P71" i="52"/>
  <c r="P69" i="52"/>
  <c r="P73" i="52"/>
  <c r="P72" i="52"/>
  <c r="W204" i="18"/>
  <c r="W203" i="18"/>
  <c r="L32" i="18"/>
  <c r="N36" i="52"/>
  <c r="N35" i="52"/>
  <c r="Q42" i="52"/>
  <c r="AM300" i="18" l="1"/>
  <c r="AL299" i="18"/>
  <c r="W202" i="18"/>
  <c r="W201" i="18"/>
  <c r="N34" i="52"/>
  <c r="N33" i="52"/>
  <c r="P42" i="52"/>
  <c r="AL298" i="18" l="1"/>
  <c r="AM299" i="18"/>
  <c r="D316" i="20"/>
  <c r="AL297" i="18" l="1"/>
  <c r="AM297" i="18" s="1"/>
  <c r="AM298"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W200" i="18" l="1"/>
  <c r="W199" i="18"/>
  <c r="N32" i="52"/>
  <c r="N31" i="52"/>
  <c r="W198" i="18" l="1"/>
  <c r="W197" i="18"/>
  <c r="N30" i="52"/>
  <c r="N29" i="52"/>
  <c r="W196" i="18" l="1"/>
  <c r="W195" i="18"/>
  <c r="N28" i="52"/>
  <c r="N27" i="52"/>
  <c r="AL296" i="18" l="1"/>
  <c r="D313" i="20"/>
  <c r="AL295" i="18" l="1"/>
  <c r="AM296" i="18"/>
  <c r="L108" i="18"/>
  <c r="L103" i="18" l="1"/>
  <c r="N103" i="18" s="1"/>
  <c r="L105" i="18"/>
  <c r="N105" i="18" s="1"/>
  <c r="L104" i="18"/>
  <c r="N104" i="18" s="1"/>
  <c r="M108" i="18"/>
  <c r="AM295" i="18"/>
  <c r="AL294" i="18"/>
  <c r="L100" i="18"/>
  <c r="W194" i="18"/>
  <c r="W193" i="18"/>
  <c r="N24" i="52"/>
  <c r="N26" i="52"/>
  <c r="N25" i="52"/>
  <c r="AL293" i="18" l="1"/>
  <c r="AM294"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293" i="18"/>
  <c r="AL292" i="18"/>
  <c r="I370" i="20"/>
  <c r="J370" i="20"/>
  <c r="W192" i="18"/>
  <c r="W191" i="18"/>
  <c r="N23" i="52"/>
  <c r="N22" i="52"/>
  <c r="I368" i="20" l="1"/>
  <c r="G367" i="20"/>
  <c r="J368" i="20"/>
  <c r="K368" i="20"/>
  <c r="AL291" i="18"/>
  <c r="AM292" i="18"/>
  <c r="W190" i="18"/>
  <c r="W189" i="18"/>
  <c r="N21" i="52"/>
  <c r="N20" i="52"/>
  <c r="G366" i="20" l="1"/>
  <c r="I367" i="20"/>
  <c r="K367" i="20"/>
  <c r="J367" i="20"/>
  <c r="AL290" i="18"/>
  <c r="AM291" i="18"/>
  <c r="D309" i="20"/>
  <c r="J366" i="20" l="1"/>
  <c r="K366" i="20"/>
  <c r="I366" i="20"/>
  <c r="G365" i="20"/>
  <c r="AL289" i="18"/>
  <c r="AM290" i="18"/>
  <c r="D308" i="20"/>
  <c r="G364" i="20" l="1"/>
  <c r="I365" i="20"/>
  <c r="J365" i="20"/>
  <c r="K365" i="20"/>
  <c r="AL288" i="18"/>
  <c r="AM289" i="18"/>
  <c r="D307" i="20"/>
  <c r="I364" i="20" l="1"/>
  <c r="J364" i="20"/>
  <c r="K364" i="20"/>
  <c r="G363" i="20"/>
  <c r="AL287" i="18"/>
  <c r="AM288" i="18"/>
  <c r="AL177" i="18" l="1"/>
  <c r="G362" i="20"/>
  <c r="I363" i="20"/>
  <c r="J363" i="20"/>
  <c r="K363" i="20"/>
  <c r="AL286" i="18"/>
  <c r="AM287" i="18"/>
  <c r="W188" i="18"/>
  <c r="W187" i="18"/>
  <c r="AL176" i="18" l="1"/>
  <c r="AM177" i="18"/>
  <c r="K362" i="20"/>
  <c r="G361" i="20"/>
  <c r="I362" i="20"/>
  <c r="J362" i="20"/>
  <c r="AL285" i="18"/>
  <c r="AM286" i="18"/>
  <c r="AL175" i="18" l="1"/>
  <c r="AM176" i="18"/>
  <c r="I361" i="20"/>
  <c r="G360" i="20"/>
  <c r="J361" i="20"/>
  <c r="K361" i="20"/>
  <c r="AL284" i="18"/>
  <c r="AM285" i="18"/>
  <c r="G100" i="18"/>
  <c r="F100" i="18" s="1"/>
  <c r="AL174" i="18" l="1"/>
  <c r="AM175" i="18"/>
  <c r="I360" i="20"/>
  <c r="K360" i="20"/>
  <c r="G359" i="20"/>
  <c r="J360" i="20"/>
  <c r="AL283" i="18"/>
  <c r="AM284" i="18"/>
  <c r="D306" i="20"/>
  <c r="AL173" i="18" l="1"/>
  <c r="AM174" i="18"/>
  <c r="G358" i="20"/>
  <c r="J359" i="20"/>
  <c r="K359" i="20"/>
  <c r="I359" i="20"/>
  <c r="AL282" i="18"/>
  <c r="AM283" i="18"/>
  <c r="D305" i="20"/>
  <c r="AL172" i="18" l="1"/>
  <c r="AM173" i="18"/>
  <c r="K358" i="20"/>
  <c r="I358" i="20"/>
  <c r="G357" i="20"/>
  <c r="J358" i="20"/>
  <c r="AL281" i="18"/>
  <c r="AM282" i="18"/>
  <c r="AL171" i="18" l="1"/>
  <c r="AM172" i="18"/>
  <c r="I357" i="20"/>
  <c r="J357" i="20"/>
  <c r="G356" i="20"/>
  <c r="K357" i="20"/>
  <c r="AM281" i="18"/>
  <c r="AL280" i="18"/>
  <c r="D304" i="20"/>
  <c r="W186" i="18"/>
  <c r="W185" i="18"/>
  <c r="N17" i="52"/>
  <c r="N16" i="52"/>
  <c r="AL170" i="18" l="1"/>
  <c r="AM171" i="18"/>
  <c r="I356" i="20"/>
  <c r="G355" i="20"/>
  <c r="J356" i="20"/>
  <c r="K356" i="20"/>
  <c r="L101" i="18"/>
  <c r="AL169" i="18" l="1"/>
  <c r="AL168" i="18" s="1"/>
  <c r="AM170" i="18"/>
  <c r="J355" i="20"/>
  <c r="I355" i="20"/>
  <c r="G354" i="20"/>
  <c r="K355" i="20"/>
  <c r="W184" i="18"/>
  <c r="W183" i="18"/>
  <c r="D303" i="20"/>
  <c r="D302" i="20"/>
  <c r="W182" i="18"/>
  <c r="AL167" i="18" l="1"/>
  <c r="AM168" i="18"/>
  <c r="AM169" i="18"/>
  <c r="K354" i="20"/>
  <c r="J354" i="20"/>
  <c r="G353" i="20"/>
  <c r="I354" i="20"/>
  <c r="D301" i="20"/>
  <c r="D300" i="20"/>
  <c r="D299" i="20"/>
  <c r="AM167" i="18" l="1"/>
  <c r="AL166" i="18"/>
  <c r="I353" i="20"/>
  <c r="G352" i="20"/>
  <c r="J353" i="20"/>
  <c r="K353" i="20"/>
  <c r="P27"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0" i="18"/>
  <c r="AL163" i="18" l="1"/>
  <c r="AM164" i="18"/>
  <c r="I350" i="20"/>
  <c r="J350" i="20"/>
  <c r="K350" i="20"/>
  <c r="G349" i="20"/>
  <c r="D296" i="20"/>
  <c r="D295" i="20"/>
  <c r="AM163" i="18" l="1"/>
  <c r="AL162" i="18"/>
  <c r="K349" i="20"/>
  <c r="I349" i="20"/>
  <c r="J349" i="20"/>
  <c r="G348" i="20"/>
  <c r="W179" i="18"/>
  <c r="W178" i="18"/>
  <c r="L11" i="52"/>
  <c r="L10" i="52"/>
  <c r="AL279" i="18"/>
  <c r="AL278" i="18" s="1"/>
  <c r="AL277"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0" i="18"/>
  <c r="AM279" i="18"/>
  <c r="AM278" i="18"/>
  <c r="W177" i="18"/>
  <c r="W176" i="18"/>
  <c r="AM161" i="18" l="1"/>
  <c r="AL160" i="18"/>
  <c r="G346" i="20"/>
  <c r="J347" i="20"/>
  <c r="I347" i="20"/>
  <c r="K347" i="20"/>
  <c r="D293" i="20"/>
  <c r="AL159" i="18" l="1"/>
  <c r="AM160" i="18"/>
  <c r="K346" i="20"/>
  <c r="G345" i="20"/>
  <c r="J346" i="20"/>
  <c r="I346" i="20"/>
  <c r="W175" i="18"/>
  <c r="AM159" i="18" l="1"/>
  <c r="AL158" i="18"/>
  <c r="K345" i="20"/>
  <c r="G344" i="20"/>
  <c r="J345" i="20"/>
  <c r="I345" i="20"/>
  <c r="D292" i="20"/>
  <c r="C8" i="36"/>
  <c r="W174"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6" i="18"/>
  <c r="AL275" i="18" s="1"/>
  <c r="D288" i="20"/>
  <c r="AL153" i="18" l="1"/>
  <c r="AM154" i="18"/>
  <c r="I340" i="20"/>
  <c r="K340" i="20"/>
  <c r="G339" i="20"/>
  <c r="J340" i="20"/>
  <c r="AM277" i="18"/>
  <c r="AM276"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3"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2"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44"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2" i="18"/>
  <c r="D278" i="20"/>
  <c r="D269" i="15" l="1"/>
  <c r="F270" i="15"/>
  <c r="AL140" i="18"/>
  <c r="AM141" i="18"/>
  <c r="J327" i="20"/>
  <c r="K327" i="20"/>
  <c r="G326" i="20"/>
  <c r="I327" i="20"/>
  <c r="W150" i="18"/>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3"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8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1"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0" i="18"/>
  <c r="AM124" i="18" l="1"/>
  <c r="AL123" i="18"/>
  <c r="AM123" i="18" l="1"/>
  <c r="AL122" i="18"/>
  <c r="AL121" i="18" l="1"/>
  <c r="AM122" i="18"/>
  <c r="W164" i="18"/>
  <c r="W165" i="18"/>
  <c r="W166" i="18"/>
  <c r="W167" i="18"/>
  <c r="W168" i="18"/>
  <c r="W169" i="18"/>
  <c r="W181" i="18"/>
  <c r="W163" i="18"/>
  <c r="AM121" i="18" l="1"/>
  <c r="AL120" i="18"/>
  <c r="N47" i="18"/>
  <c r="AM120" i="18" l="1"/>
  <c r="AL119" i="18"/>
  <c r="AM119" i="18" l="1"/>
  <c r="AL118" i="18"/>
  <c r="T147" i="18"/>
  <c r="S55" i="18"/>
  <c r="S56" i="18" s="1"/>
  <c r="S57" i="18" s="1"/>
  <c r="R168" i="18"/>
  <c r="R166" i="18"/>
  <c r="D57" i="51"/>
  <c r="AL117" i="18" l="1"/>
  <c r="AM118" i="18"/>
  <c r="S58" i="18"/>
  <c r="S59" i="18" s="1"/>
  <c r="AM117" i="18" l="1"/>
  <c r="AL116" i="18"/>
  <c r="S60" i="18"/>
  <c r="S61" i="18" s="1"/>
  <c r="N27" i="18"/>
  <c r="Q76" i="18" l="1"/>
  <c r="R165"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2" i="18" l="1"/>
  <c r="S63" i="18" s="1"/>
  <c r="AL113" i="18"/>
  <c r="AM114" i="18"/>
  <c r="S20" i="18"/>
  <c r="S21" i="18" s="1"/>
  <c r="S64" i="18" l="1"/>
  <c r="AL112" i="18"/>
  <c r="AM113" i="18"/>
  <c r="Q139" i="18" l="1"/>
  <c r="S65" i="18"/>
  <c r="S66" i="18" s="1"/>
  <c r="AM112" i="18"/>
  <c r="AL111" i="18"/>
  <c r="D108" i="50"/>
  <c r="S67" i="18" l="1"/>
  <c r="S68" i="18" s="1"/>
  <c r="AL110" i="18"/>
  <c r="AM111" i="18"/>
  <c r="S69" i="18" l="1"/>
  <c r="S70" i="18" s="1"/>
  <c r="S71" i="18" s="1"/>
  <c r="S72" i="18" s="1"/>
  <c r="AL109" i="18"/>
  <c r="AM110" i="18"/>
  <c r="N102" i="18" l="1"/>
  <c r="AL108" i="18"/>
  <c r="AM109" i="18"/>
  <c r="N22" i="33"/>
  <c r="R22" i="33" s="1"/>
  <c r="S73" i="18" l="1"/>
  <c r="E22" i="33"/>
  <c r="AL107" i="18"/>
  <c r="AM108" i="18"/>
  <c r="C22" i="33"/>
  <c r="J22" i="33"/>
  <c r="F22" i="33"/>
  <c r="B22" i="33"/>
  <c r="I22" i="33"/>
  <c r="L22" i="33"/>
  <c r="H22" i="33"/>
  <c r="D22" i="33"/>
  <c r="K22" i="33"/>
  <c r="G22" i="33"/>
  <c r="AM107" i="18" l="1"/>
  <c r="AL106" i="18"/>
  <c r="AL105" i="18" l="1"/>
  <c r="AM106" i="18"/>
  <c r="AL104" i="18" l="1"/>
  <c r="AM105" i="18"/>
  <c r="AL274" i="18"/>
  <c r="AM275" i="18"/>
  <c r="AL103" i="18" l="1"/>
  <c r="AM104" i="18"/>
  <c r="AL273" i="18"/>
  <c r="AM274" i="18"/>
  <c r="AL102" i="18" l="1"/>
  <c r="AM103" i="18"/>
  <c r="AL272" i="18"/>
  <c r="AM273" i="18"/>
  <c r="S22" i="18"/>
  <c r="S23" i="18" s="1"/>
  <c r="N72" i="18"/>
  <c r="AL101" i="18" l="1"/>
  <c r="AM102" i="18"/>
  <c r="AL271" i="18"/>
  <c r="AM272"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1" i="18"/>
  <c r="AL270" i="18"/>
  <c r="D73" i="48"/>
  <c r="N101" i="18" l="1"/>
  <c r="AL99" i="18"/>
  <c r="AM100" i="18"/>
  <c r="AL269" i="18"/>
  <c r="AM270" i="18"/>
  <c r="AM99" i="18" l="1"/>
  <c r="AL98" i="18"/>
  <c r="AL268" i="18"/>
  <c r="AM269" i="18"/>
  <c r="AL97" i="18" l="1"/>
  <c r="AM98" i="18"/>
  <c r="AL267" i="18"/>
  <c r="AM268" i="18"/>
  <c r="S29" i="18" l="1"/>
  <c r="S30" i="18" s="1"/>
  <c r="AM97" i="18"/>
  <c r="AL96" i="18"/>
  <c r="AL266" i="18"/>
  <c r="AM267" i="18"/>
  <c r="N23" i="33"/>
  <c r="D23" i="33" s="1"/>
  <c r="AM96" i="18" l="1"/>
  <c r="AL95" i="18"/>
  <c r="AL265" i="18"/>
  <c r="AM266"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64" i="18"/>
  <c r="AM265" i="18"/>
  <c r="N21" i="18"/>
  <c r="M100" i="18" s="1"/>
  <c r="Q50" i="18" l="1"/>
  <c r="R164" i="18"/>
  <c r="AJ408" i="18"/>
  <c r="AJ409" i="18" s="1"/>
  <c r="AM94" i="18"/>
  <c r="AL93" i="18"/>
  <c r="AL263" i="18"/>
  <c r="AM264" i="18"/>
  <c r="AL92" i="18" l="1"/>
  <c r="AM93" i="18"/>
  <c r="AL262" i="18"/>
  <c r="AM263" i="18"/>
  <c r="S86" i="18"/>
  <c r="S87" i="18" s="1"/>
  <c r="AL91" i="18" l="1"/>
  <c r="AM92" i="18"/>
  <c r="AM262" i="18"/>
  <c r="AL261" i="18"/>
  <c r="S34" i="18" l="1"/>
  <c r="AL90" i="18"/>
  <c r="AM91" i="18"/>
  <c r="AL260" i="18"/>
  <c r="AM261" i="18"/>
  <c r="AM90" i="18" l="1"/>
  <c r="AL89" i="18"/>
  <c r="AM260" i="18"/>
  <c r="AL259" i="18"/>
  <c r="AL88" i="18" l="1"/>
  <c r="AM89" i="18"/>
  <c r="AM259" i="18"/>
  <c r="AL258" i="18"/>
  <c r="S35" i="18" l="1"/>
  <c r="S36" i="18" s="1"/>
  <c r="S37" i="18" s="1"/>
  <c r="AM88" i="18"/>
  <c r="AL87" i="18"/>
  <c r="AL257" i="18"/>
  <c r="AM258" i="18"/>
  <c r="B10" i="36"/>
  <c r="S38" i="18" l="1"/>
  <c r="S39" i="18" s="1"/>
  <c r="S40" i="18" s="1"/>
  <c r="AL86" i="18"/>
  <c r="AM87" i="18"/>
  <c r="AL256" i="18"/>
  <c r="AM257" i="18"/>
  <c r="S88" i="18"/>
  <c r="S89" i="18" s="1"/>
  <c r="S90" i="18" s="1"/>
  <c r="S41" i="18" l="1"/>
  <c r="S42" i="18" s="1"/>
  <c r="S43" i="18" s="1"/>
  <c r="S44" i="18" s="1"/>
  <c r="S45" i="18" s="1"/>
  <c r="S46" i="18" s="1"/>
  <c r="S47" i="18" s="1"/>
  <c r="AL85" i="18"/>
  <c r="AM86" i="18"/>
  <c r="S91" i="18"/>
  <c r="AL255" i="18"/>
  <c r="AM256" i="18"/>
  <c r="N25" i="33"/>
  <c r="N24" i="33"/>
  <c r="N21" i="33"/>
  <c r="N20" i="33"/>
  <c r="N19" i="33"/>
  <c r="N18" i="33"/>
  <c r="L18" i="33" s="1"/>
  <c r="N17" i="33"/>
  <c r="N9" i="33"/>
  <c r="N3" i="33"/>
  <c r="N4" i="33"/>
  <c r="AL84" i="18" l="1"/>
  <c r="AM85" i="18"/>
  <c r="AM255" i="18"/>
  <c r="AL254" i="18"/>
  <c r="S92" i="18"/>
  <c r="S93" i="18" s="1"/>
  <c r="S94"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54" i="18"/>
  <c r="AL253" i="18"/>
  <c r="AC15" i="33"/>
  <c r="AL82" i="18" l="1"/>
  <c r="AM83" i="18"/>
  <c r="AM253" i="18"/>
  <c r="AL252" i="18"/>
  <c r="N16" i="33"/>
  <c r="AL81" i="18" l="1"/>
  <c r="AM82" i="18"/>
  <c r="AM252" i="18"/>
  <c r="AL251" i="18"/>
  <c r="AM251" i="18" s="1"/>
  <c r="L16" i="33"/>
  <c r="J16" i="33"/>
  <c r="F16" i="33"/>
  <c r="C16" i="33"/>
  <c r="K16" i="33"/>
  <c r="G16" i="33"/>
  <c r="H16" i="33"/>
  <c r="D16" i="33"/>
  <c r="I16" i="33"/>
  <c r="E16" i="33"/>
  <c r="B16" i="33"/>
  <c r="R16" i="33"/>
  <c r="AM404" i="18" l="1"/>
  <c r="AN404" i="18" s="1"/>
  <c r="AJ40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10" i="18" l="1"/>
  <c r="AJ41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95" i="18" l="1"/>
  <c r="AL77" i="18"/>
  <c r="AM78" i="18"/>
  <c r="G307" i="20" l="1"/>
  <c r="K308" i="20"/>
  <c r="J308" i="20"/>
  <c r="I308" i="20"/>
  <c r="S96" i="18"/>
  <c r="AL76" i="18"/>
  <c r="AM77" i="18"/>
  <c r="S97" i="18" l="1"/>
  <c r="S98" i="18" s="1"/>
  <c r="G306" i="20"/>
  <c r="J307" i="20"/>
  <c r="I307" i="20"/>
  <c r="K307" i="20"/>
  <c r="AL75" i="18"/>
  <c r="AM76" i="18"/>
  <c r="N100" i="18" l="1"/>
  <c r="N108" i="18" s="1"/>
  <c r="R163" i="18"/>
  <c r="S99" i="18"/>
  <c r="S100" i="18" s="1"/>
  <c r="AJ240" i="18"/>
  <c r="AJ241" i="18" s="1"/>
  <c r="G305" i="20"/>
  <c r="I306" i="20"/>
  <c r="K306" i="20"/>
  <c r="J306" i="20"/>
  <c r="AL74" i="18"/>
  <c r="AM75" i="18"/>
  <c r="R176" i="18" l="1"/>
  <c r="T336" i="18" s="1"/>
  <c r="G304" i="20"/>
  <c r="I305" i="20"/>
  <c r="K305" i="20"/>
  <c r="J305" i="20"/>
  <c r="AL73" i="18"/>
  <c r="AM74" i="18"/>
  <c r="R80" i="18"/>
  <c r="V46" i="18" l="1"/>
  <c r="W46" i="18" s="1"/>
  <c r="V136" i="18"/>
  <c r="V137" i="18"/>
  <c r="V138" i="18"/>
  <c r="V45" i="18"/>
  <c r="X45" i="18" s="1"/>
  <c r="V73" i="18"/>
  <c r="V72" i="18"/>
  <c r="W72" i="18" s="1"/>
  <c r="V44" i="18"/>
  <c r="V43" i="18"/>
  <c r="X43" i="18" s="1"/>
  <c r="V42" i="18"/>
  <c r="V41" i="18"/>
  <c r="V40" i="18"/>
  <c r="V38" i="18"/>
  <c r="V39" i="18"/>
  <c r="V49" i="18"/>
  <c r="V37" i="18"/>
  <c r="W37" i="18" s="1"/>
  <c r="V35" i="18"/>
  <c r="V36" i="18"/>
  <c r="V71" i="18"/>
  <c r="V34" i="18"/>
  <c r="X34" i="18" s="1"/>
  <c r="V70" i="18"/>
  <c r="W70" i="18" s="1"/>
  <c r="V69" i="18"/>
  <c r="X69" i="18" s="1"/>
  <c r="V339" i="18"/>
  <c r="S153" i="18"/>
  <c r="V68" i="18"/>
  <c r="X68" i="18" s="1"/>
  <c r="V67" i="18"/>
  <c r="W67" i="18" s="1"/>
  <c r="V75" i="18"/>
  <c r="V33" i="18"/>
  <c r="U349" i="18"/>
  <c r="V349" i="18" s="1"/>
  <c r="S152" i="18"/>
  <c r="V66" i="18"/>
  <c r="W66" i="18" s="1"/>
  <c r="V84" i="18"/>
  <c r="V65" i="18"/>
  <c r="V64" i="18"/>
  <c r="V63" i="18"/>
  <c r="W63" i="18" s="1"/>
  <c r="V32" i="18"/>
  <c r="V31" i="18"/>
  <c r="V30" i="18"/>
  <c r="V29" i="18"/>
  <c r="V28" i="18"/>
  <c r="W28" i="18" s="1"/>
  <c r="V62" i="18"/>
  <c r="V61" i="18"/>
  <c r="V27" i="18"/>
  <c r="G303" i="20"/>
  <c r="K304" i="20"/>
  <c r="I304" i="20"/>
  <c r="J304" i="20"/>
  <c r="V99" i="18"/>
  <c r="V26" i="18"/>
  <c r="W26" i="18" s="1"/>
  <c r="V60" i="18"/>
  <c r="V97" i="18"/>
  <c r="W97" i="18" s="1"/>
  <c r="V98" i="18"/>
  <c r="V95" i="18"/>
  <c r="W95" i="18" s="1"/>
  <c r="V96" i="18"/>
  <c r="V94" i="18"/>
  <c r="W94" i="18" s="1"/>
  <c r="V25" i="18"/>
  <c r="V24" i="18"/>
  <c r="W24" i="18" s="1"/>
  <c r="V59" i="18"/>
  <c r="V23" i="18"/>
  <c r="X23" i="18" s="1"/>
  <c r="V58" i="18"/>
  <c r="V57" i="18"/>
  <c r="V93" i="18"/>
  <c r="V56" i="18"/>
  <c r="V92" i="18"/>
  <c r="V22" i="18"/>
  <c r="V91" i="18"/>
  <c r="V21" i="18"/>
  <c r="V90" i="18"/>
  <c r="V89" i="18"/>
  <c r="V87" i="18"/>
  <c r="V88" i="18"/>
  <c r="V20" i="18"/>
  <c r="V85" i="18"/>
  <c r="V86" i="18"/>
  <c r="AL72" i="18"/>
  <c r="AM73" i="18"/>
  <c r="X46" i="18" l="1"/>
  <c r="W138" i="18"/>
  <c r="X138" i="18"/>
  <c r="W137" i="18"/>
  <c r="X137" i="18"/>
  <c r="W136" i="18"/>
  <c r="X136" i="18"/>
  <c r="W45" i="18"/>
  <c r="X73" i="18"/>
  <c r="W73" i="18"/>
  <c r="X72" i="18"/>
  <c r="W44" i="18"/>
  <c r="X44" i="18"/>
  <c r="W43" i="18"/>
  <c r="X41" i="18"/>
  <c r="W41" i="18"/>
  <c r="W42" i="18"/>
  <c r="X42" i="18"/>
  <c r="W40" i="18"/>
  <c r="X40" i="18"/>
  <c r="W49" i="18"/>
  <c r="X49" i="18"/>
  <c r="W39" i="18"/>
  <c r="X39" i="18"/>
  <c r="W38" i="18"/>
  <c r="X38" i="18"/>
  <c r="X37" i="18"/>
  <c r="X36" i="18"/>
  <c r="W36" i="18"/>
  <c r="W35" i="18"/>
  <c r="X35" i="18"/>
  <c r="W71" i="18"/>
  <c r="X71" i="18"/>
  <c r="W34" i="18"/>
  <c r="X70" i="18"/>
  <c r="W69" i="18"/>
  <c r="U153" i="18"/>
  <c r="V153" i="18" s="1"/>
  <c r="W68" i="18"/>
  <c r="X67" i="18"/>
  <c r="W75" i="18"/>
  <c r="X75" i="18"/>
  <c r="W33" i="18"/>
  <c r="X33" i="18"/>
  <c r="U152" i="18"/>
  <c r="V152" i="18" s="1"/>
  <c r="X66" i="18"/>
  <c r="W65" i="18"/>
  <c r="X65" i="18"/>
  <c r="W64" i="18"/>
  <c r="X64" i="18"/>
  <c r="X63" i="18"/>
  <c r="W32" i="18"/>
  <c r="X32" i="18"/>
  <c r="W31" i="18"/>
  <c r="X31" i="18"/>
  <c r="X30" i="18"/>
  <c r="W30" i="18"/>
  <c r="W29" i="18"/>
  <c r="X29" i="18"/>
  <c r="X28" i="18"/>
  <c r="W62" i="18"/>
  <c r="X62" i="18"/>
  <c r="W61" i="18"/>
  <c r="X61" i="18"/>
  <c r="W27" i="18"/>
  <c r="X27" i="18"/>
  <c r="S151" i="18"/>
  <c r="N55" i="18" s="1"/>
  <c r="G302" i="20"/>
  <c r="K303" i="20"/>
  <c r="I303" i="20"/>
  <c r="J303" i="20"/>
  <c r="W99" i="18"/>
  <c r="X99" i="18"/>
  <c r="X26" i="18"/>
  <c r="W60" i="18"/>
  <c r="X60" i="18"/>
  <c r="X97" i="18"/>
  <c r="W98" i="18"/>
  <c r="X98" i="18"/>
  <c r="X95" i="18"/>
  <c r="W96" i="18"/>
  <c r="X96" i="18"/>
  <c r="X94" i="18"/>
  <c r="W25" i="18"/>
  <c r="X25" i="18"/>
  <c r="X24" i="18"/>
  <c r="W59" i="18"/>
  <c r="X59" i="18"/>
  <c r="W23" i="18"/>
  <c r="W58" i="18"/>
  <c r="X58" i="18"/>
  <c r="W57" i="18"/>
  <c r="X57" i="18"/>
  <c r="S150" i="18"/>
  <c r="N30" i="18" s="1"/>
  <c r="S149" i="18"/>
  <c r="R159" i="18" s="1"/>
  <c r="W93" i="18"/>
  <c r="X93" i="18"/>
  <c r="X56" i="18"/>
  <c r="W56" i="18"/>
  <c r="W91" i="18"/>
  <c r="X91" i="18"/>
  <c r="W86" i="18"/>
  <c r="X86" i="18"/>
  <c r="W22" i="18"/>
  <c r="X22" i="18"/>
  <c r="W20" i="18"/>
  <c r="X20" i="18"/>
  <c r="W88" i="18"/>
  <c r="X88" i="18"/>
  <c r="X92" i="18"/>
  <c r="W92" i="18"/>
  <c r="W85" i="18"/>
  <c r="X85" i="18"/>
  <c r="W84" i="18"/>
  <c r="X84" i="18"/>
  <c r="W89" i="18"/>
  <c r="X89" i="18"/>
  <c r="W87" i="18"/>
  <c r="X87" i="18"/>
  <c r="W90" i="18"/>
  <c r="X90" i="18"/>
  <c r="W21" i="18"/>
  <c r="X21" i="18"/>
  <c r="AL71" i="18"/>
  <c r="AM72" i="18"/>
  <c r="L21" i="18" l="1"/>
  <c r="R160" i="18"/>
  <c r="U149" i="18"/>
  <c r="U151" i="18"/>
  <c r="V151" i="18" s="1"/>
  <c r="U150" i="18"/>
  <c r="V150" i="18" s="1"/>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01"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0" i="18"/>
  <c r="W100" i="18" s="1"/>
  <c r="J266" i="20"/>
  <c r="G265" i="20"/>
  <c r="K266" i="20"/>
  <c r="I266" i="20"/>
  <c r="AL34" i="18"/>
  <c r="AM35" i="18"/>
  <c r="E240" i="15"/>
  <c r="E239" i="15"/>
  <c r="X100" i="18" l="1"/>
  <c r="G29" i="14"/>
  <c r="E28" i="14"/>
  <c r="K265" i="20"/>
  <c r="G264" i="20"/>
  <c r="J265" i="20"/>
  <c r="I265" i="20"/>
  <c r="D259" i="15"/>
  <c r="F259" i="15" s="1"/>
  <c r="AL33" i="18"/>
  <c r="AM34" i="18"/>
  <c r="E27" i="14" l="1"/>
  <c r="G28" i="14"/>
  <c r="G263" i="20"/>
  <c r="K264" i="20"/>
  <c r="J264" i="20"/>
  <c r="I264" i="20"/>
  <c r="D258" i="15"/>
  <c r="F258" i="15" s="1"/>
  <c r="AL32" i="18"/>
  <c r="AM33" i="18"/>
  <c r="S102" i="18" l="1"/>
  <c r="S103" i="18" s="1"/>
  <c r="S104" i="18" s="1"/>
  <c r="S105" i="18" s="1"/>
  <c r="E26" i="14"/>
  <c r="G27" i="14"/>
  <c r="I263" i="20"/>
  <c r="K263" i="20"/>
  <c r="G262" i="20"/>
  <c r="J263" i="20"/>
  <c r="D257" i="15"/>
  <c r="F257" i="15" s="1"/>
  <c r="AL31" i="18"/>
  <c r="AM32" i="18"/>
  <c r="K61" i="32"/>
  <c r="U61" i="32" s="1"/>
  <c r="K60" i="32"/>
  <c r="U60" i="32" s="1"/>
  <c r="K49" i="32"/>
  <c r="U49" i="32" s="1"/>
  <c r="K48" i="32"/>
  <c r="U48" i="32" s="1"/>
  <c r="K46" i="32"/>
  <c r="I60" i="32"/>
  <c r="I48" i="32"/>
  <c r="S70" i="32"/>
  <c r="V101" i="18" l="1"/>
  <c r="X101" i="18" s="1"/>
  <c r="E25" i="14"/>
  <c r="G26" i="14"/>
  <c r="G261" i="20"/>
  <c r="I262" i="20"/>
  <c r="J262" i="20"/>
  <c r="K262" i="20"/>
  <c r="D256" i="15"/>
  <c r="F256" i="15" s="1"/>
  <c r="AL30" i="18"/>
  <c r="AM31" i="18"/>
  <c r="L60" i="32"/>
  <c r="L48" i="32"/>
  <c r="W101" i="18" l="1"/>
  <c r="E24" i="14"/>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02" i="18" l="1"/>
  <c r="W102"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X102" i="18" l="1"/>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V103" i="18" l="1"/>
  <c r="X103" i="18" s="1"/>
  <c r="G254" i="20"/>
  <c r="J255" i="20"/>
  <c r="I255" i="20"/>
  <c r="K255" i="20"/>
  <c r="D249" i="15"/>
  <c r="F249" i="15" s="1"/>
  <c r="AM24" i="18"/>
  <c r="AL23" i="18"/>
  <c r="E177" i="13"/>
  <c r="G178" i="13"/>
  <c r="W103" i="18" l="1"/>
  <c r="K254" i="20"/>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04"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4" i="18"/>
  <c r="G250" i="20"/>
  <c r="I251" i="20"/>
  <c r="J251" i="20"/>
  <c r="K251" i="20"/>
  <c r="F246" i="15"/>
  <c r="D245" i="15"/>
  <c r="E173" i="13"/>
  <c r="G174" i="13"/>
  <c r="X104" i="18" l="1"/>
  <c r="W104" i="18"/>
  <c r="U2123" i="41"/>
  <c r="V2123" i="41" s="1"/>
  <c r="X2123" i="41" s="1"/>
  <c r="G249" i="20"/>
  <c r="J250" i="20"/>
  <c r="K250" i="20"/>
  <c r="I250" i="20"/>
  <c r="F245" i="15"/>
  <c r="D244" i="15"/>
  <c r="AN234" i="18"/>
  <c r="AJ239" i="18" s="1"/>
  <c r="E172" i="13"/>
  <c r="G173" i="13"/>
  <c r="D62" i="38"/>
  <c r="AJ243" i="18" l="1"/>
  <c r="J249" i="20"/>
  <c r="I249" i="20"/>
  <c r="K249" i="20"/>
  <c r="G248" i="20"/>
  <c r="F244" i="15"/>
  <c r="D243" i="15"/>
  <c r="AJ242"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06" i="18" l="1"/>
  <c r="S107"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5" i="18" l="1"/>
  <c r="W105"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5"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08" i="18" l="1"/>
  <c r="V106" i="18"/>
  <c r="G189" i="20"/>
  <c r="K190" i="20"/>
  <c r="I190" i="20"/>
  <c r="J190" i="20"/>
  <c r="S109" i="18" l="1"/>
  <c r="X106" i="18"/>
  <c r="W106"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07" i="18" l="1"/>
  <c r="G186" i="20"/>
  <c r="K187" i="20"/>
  <c r="J187" i="20"/>
  <c r="I187" i="20"/>
  <c r="D141" i="20"/>
  <c r="W107" i="18" l="1"/>
  <c r="X107" i="18"/>
  <c r="G185" i="20"/>
  <c r="I186" i="20"/>
  <c r="J186" i="20"/>
  <c r="K186" i="20"/>
  <c r="F2" i="16"/>
  <c r="G2" i="16" s="1"/>
  <c r="G85" i="16" s="1"/>
  <c r="G184" i="20" l="1"/>
  <c r="I185" i="20"/>
  <c r="J185" i="20"/>
  <c r="K185" i="20"/>
  <c r="F185" i="15"/>
  <c r="D140" i="20"/>
  <c r="S110" i="18" l="1"/>
  <c r="V108"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08" i="18" l="1"/>
  <c r="X108" i="18"/>
  <c r="I183" i="20"/>
  <c r="G182" i="20"/>
  <c r="K183" i="20"/>
  <c r="J183" i="20"/>
  <c r="F183" i="15"/>
  <c r="G43" i="10"/>
  <c r="K182" i="20" l="1"/>
  <c r="I182" i="20"/>
  <c r="J182" i="20"/>
  <c r="G181" i="20"/>
  <c r="D138" i="20"/>
  <c r="V109" i="18" l="1"/>
  <c r="G180" i="20"/>
  <c r="I181" i="20"/>
  <c r="K181" i="20"/>
  <c r="J181" i="20"/>
  <c r="G42" i="10"/>
  <c r="W109" i="18" l="1"/>
  <c r="X109" i="18"/>
  <c r="I180" i="20"/>
  <c r="G179" i="20"/>
  <c r="J180" i="20"/>
  <c r="K180" i="20"/>
  <c r="E167" i="15"/>
  <c r="E168" i="15"/>
  <c r="E169" i="15"/>
  <c r="E170" i="15"/>
  <c r="E171" i="15"/>
  <c r="E172" i="15"/>
  <c r="E173" i="15"/>
  <c r="E174" i="15"/>
  <c r="E175" i="15"/>
  <c r="E176" i="15"/>
  <c r="E177" i="15"/>
  <c r="E178" i="15"/>
  <c r="E179" i="15"/>
  <c r="E180" i="15"/>
  <c r="E181" i="15"/>
  <c r="E182" i="15"/>
  <c r="S111"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0" i="18" l="1"/>
  <c r="X110" i="18" s="1"/>
  <c r="J176" i="20"/>
  <c r="G175" i="20"/>
  <c r="I176" i="20"/>
  <c r="K176" i="20"/>
  <c r="D135" i="20"/>
  <c r="D134" i="20"/>
  <c r="W110"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1" i="18" l="1"/>
  <c r="X111" i="18" s="1"/>
  <c r="S112" i="18"/>
  <c r="S113" i="18" s="1"/>
  <c r="G170" i="20"/>
  <c r="K171" i="20"/>
  <c r="I171" i="20"/>
  <c r="J171" i="20"/>
  <c r="F166" i="15"/>
  <c r="F165" i="15"/>
  <c r="F164" i="15"/>
  <c r="F163" i="15"/>
  <c r="F162" i="15"/>
  <c r="F161" i="15"/>
  <c r="F160" i="15"/>
  <c r="F159" i="15"/>
  <c r="F158" i="15"/>
  <c r="S114" i="18" l="1"/>
  <c r="S115" i="18" s="1"/>
  <c r="S116" i="18" s="1"/>
  <c r="W111" i="18"/>
  <c r="V112" i="18"/>
  <c r="I170" i="20"/>
  <c r="G169" i="20"/>
  <c r="J170" i="20"/>
  <c r="K170" i="20"/>
  <c r="D132" i="20"/>
  <c r="D131" i="20"/>
  <c r="V113" i="18" l="1"/>
  <c r="W112" i="18"/>
  <c r="X112" i="18"/>
  <c r="I169" i="20"/>
  <c r="K169" i="20"/>
  <c r="J169" i="20"/>
  <c r="G168" i="20"/>
  <c r="E3" i="18"/>
  <c r="D4" i="18"/>
  <c r="E100" i="18"/>
  <c r="N6" i="18" s="1"/>
  <c r="N10" i="18" s="1"/>
  <c r="V114" i="18" l="1"/>
  <c r="W113" i="18"/>
  <c r="X113" i="18"/>
  <c r="J168" i="20"/>
  <c r="K168" i="20"/>
  <c r="I168" i="20"/>
  <c r="G167" i="20"/>
  <c r="N11" i="18"/>
  <c r="G38" i="10"/>
  <c r="D129" i="20"/>
  <c r="W114" i="18" l="1"/>
  <c r="X114"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5" i="18" l="1"/>
  <c r="G163" i="20"/>
  <c r="J164" i="20"/>
  <c r="K164" i="20"/>
  <c r="I164" i="20"/>
  <c r="D42" i="25"/>
  <c r="W115" i="18" l="1"/>
  <c r="X115"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17" i="18" l="1"/>
  <c r="S118" i="18" s="1"/>
  <c r="I149" i="20"/>
  <c r="G148" i="20"/>
  <c r="J149" i="20"/>
  <c r="K149" i="20"/>
  <c r="V116" i="18" l="1"/>
  <c r="W116" i="18" s="1"/>
  <c r="G147" i="20"/>
  <c r="J148" i="20"/>
  <c r="K148" i="20"/>
  <c r="I148" i="20"/>
  <c r="H120" i="20"/>
  <c r="X116"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17" i="18" l="1"/>
  <c r="I145" i="20"/>
  <c r="G144" i="20"/>
  <c r="K145" i="20"/>
  <c r="J145" i="20"/>
  <c r="G30" i="10"/>
  <c r="G31" i="10"/>
  <c r="G33" i="10"/>
  <c r="G34" i="10"/>
  <c r="G35" i="10"/>
  <c r="G29" i="10"/>
  <c r="W117" i="18" l="1"/>
  <c r="X117" i="18"/>
  <c r="G143" i="20"/>
  <c r="J144" i="20"/>
  <c r="K144" i="20"/>
  <c r="I144" i="20"/>
  <c r="H119" i="20"/>
  <c r="H118" i="20"/>
  <c r="S119" i="18" l="1"/>
  <c r="K143" i="20"/>
  <c r="I143" i="20"/>
  <c r="J143" i="20"/>
  <c r="G142" i="20"/>
  <c r="G63" i="13"/>
  <c r="F52" i="13"/>
  <c r="V118"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0" i="18" l="1"/>
  <c r="V119" i="18"/>
  <c r="W118" i="18"/>
  <c r="X118" i="18"/>
  <c r="G140" i="20"/>
  <c r="I141" i="20"/>
  <c r="J141" i="20"/>
  <c r="K141" i="20"/>
  <c r="G61" i="13"/>
  <c r="W119" i="18" l="1"/>
  <c r="X119" i="18"/>
  <c r="S121" i="18"/>
  <c r="S122" i="18" s="1"/>
  <c r="V120" i="18"/>
  <c r="G139" i="20"/>
  <c r="K140" i="20"/>
  <c r="J140" i="20"/>
  <c r="I140" i="20"/>
  <c r="G60" i="13"/>
  <c r="W120" i="18" l="1"/>
  <c r="X120" i="18"/>
  <c r="V121" i="18"/>
  <c r="G138" i="20"/>
  <c r="K139" i="20"/>
  <c r="I139" i="20"/>
  <c r="J139" i="20"/>
  <c r="G59" i="13"/>
  <c r="F47" i="13"/>
  <c r="F48" i="13"/>
  <c r="F49" i="13"/>
  <c r="F50" i="13"/>
  <c r="F51" i="13"/>
  <c r="F53" i="13"/>
  <c r="F54" i="13"/>
  <c r="F55" i="13"/>
  <c r="D44" i="21"/>
  <c r="H116" i="20"/>
  <c r="X121" i="18" l="1"/>
  <c r="W121" i="18"/>
  <c r="G137" i="20"/>
  <c r="K138" i="20"/>
  <c r="J138" i="20"/>
  <c r="I138" i="20"/>
  <c r="G57" i="13"/>
  <c r="G58" i="13"/>
  <c r="S123" i="18" l="1"/>
  <c r="G136" i="20"/>
  <c r="K137" i="20"/>
  <c r="I137" i="20"/>
  <c r="J137" i="20"/>
  <c r="G56" i="13"/>
  <c r="H115" i="20"/>
  <c r="F42" i="13"/>
  <c r="F43" i="13"/>
  <c r="F44" i="13"/>
  <c r="F45" i="13"/>
  <c r="F46" i="13"/>
  <c r="F41" i="13"/>
  <c r="F40" i="13"/>
  <c r="V122" i="18" l="1"/>
  <c r="K136" i="20"/>
  <c r="J136" i="20"/>
  <c r="I136" i="20"/>
  <c r="G135" i="20"/>
  <c r="G55" i="13"/>
  <c r="W122" i="18" l="1"/>
  <c r="X122" i="18"/>
  <c r="G134" i="20"/>
  <c r="J135" i="20"/>
  <c r="K135" i="20"/>
  <c r="I135" i="20"/>
  <c r="G54" i="13"/>
  <c r="F39" i="13"/>
  <c r="V123" i="18" l="1"/>
  <c r="X123" i="18" s="1"/>
  <c r="S124" i="18"/>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23" i="18" l="1"/>
  <c r="S125" i="18"/>
  <c r="V124" i="18"/>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25" i="18" l="1"/>
  <c r="W125" i="18" s="1"/>
  <c r="S126" i="18"/>
  <c r="W124" i="18"/>
  <c r="X124" i="18"/>
  <c r="G131" i="20"/>
  <c r="I132" i="20"/>
  <c r="J132" i="20"/>
  <c r="K132" i="20"/>
  <c r="E51" i="13"/>
  <c r="G52" i="13"/>
  <c r="F124" i="15"/>
  <c r="F122" i="15"/>
  <c r="F121" i="15"/>
  <c r="X125" i="18" l="1"/>
  <c r="S127" i="18"/>
  <c r="V126" i="18"/>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V127" i="18" l="1"/>
  <c r="X127" i="18" s="1"/>
  <c r="S128" i="18"/>
  <c r="S129" i="18" s="1"/>
  <c r="S130" i="18" s="1"/>
  <c r="W126" i="18"/>
  <c r="X126" i="18"/>
  <c r="D371" i="20"/>
  <c r="I130" i="20"/>
  <c r="J130" i="20"/>
  <c r="G129" i="20"/>
  <c r="K130" i="20"/>
  <c r="E49" i="13"/>
  <c r="G50" i="13"/>
  <c r="W127" i="18" l="1"/>
  <c r="V128" i="18"/>
  <c r="G128" i="20"/>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W128" i="18" l="1"/>
  <c r="X128" i="18"/>
  <c r="G127" i="20"/>
  <c r="K128" i="20"/>
  <c r="J128" i="20"/>
  <c r="I128" i="20"/>
  <c r="N59" i="18"/>
  <c r="E47" i="13"/>
  <c r="G48" i="13"/>
  <c r="F120" i="15"/>
  <c r="D55" i="17"/>
  <c r="V129" i="18" l="1"/>
  <c r="G126" i="20"/>
  <c r="I127" i="20"/>
  <c r="K127" i="20"/>
  <c r="J127" i="20"/>
  <c r="E46" i="13"/>
  <c r="G47" i="13"/>
  <c r="F119" i="15"/>
  <c r="V130" i="18" l="1"/>
  <c r="W130" i="18" s="1"/>
  <c r="S131" i="18"/>
  <c r="W129" i="18"/>
  <c r="X129" i="18"/>
  <c r="G125" i="20"/>
  <c r="K126" i="20"/>
  <c r="J126" i="20"/>
  <c r="I126" i="20"/>
  <c r="E45" i="13"/>
  <c r="G46" i="13"/>
  <c r="F118" i="15"/>
  <c r="X130" i="18" l="1"/>
  <c r="V131" i="18"/>
  <c r="X131" i="18" s="1"/>
  <c r="S132" i="18"/>
  <c r="G124" i="20"/>
  <c r="J125" i="20"/>
  <c r="K125" i="20"/>
  <c r="I125" i="20"/>
  <c r="E44" i="13"/>
  <c r="G45" i="13"/>
  <c r="F117" i="15"/>
  <c r="E101" i="18"/>
  <c r="D5" i="18"/>
  <c r="D6" i="18" s="1"/>
  <c r="D7" i="18" s="1"/>
  <c r="D8" i="18" s="1"/>
  <c r="D9" i="18" s="1"/>
  <c r="D10" i="18" s="1"/>
  <c r="D11" i="18" s="1"/>
  <c r="D12" i="18" s="1"/>
  <c r="D13" i="18" s="1"/>
  <c r="D14" i="18" s="1"/>
  <c r="D16" i="18" s="1"/>
  <c r="E16" i="18" s="1"/>
  <c r="C4" i="18"/>
  <c r="W131" i="18" l="1"/>
  <c r="V132" i="18"/>
  <c r="X132" i="18" s="1"/>
  <c r="S133" i="18"/>
  <c r="V133" i="18" s="1"/>
  <c r="G123" i="20"/>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W132" i="18" l="1"/>
  <c r="W133" i="18"/>
  <c r="X133" i="18"/>
  <c r="S134" i="18"/>
  <c r="G122" i="20"/>
  <c r="J123" i="20"/>
  <c r="K123" i="20"/>
  <c r="I123" i="20"/>
  <c r="E42" i="13"/>
  <c r="G43" i="13"/>
  <c r="F115" i="15"/>
  <c r="C11" i="18"/>
  <c r="S135" i="18" l="1"/>
  <c r="V135" i="18" s="1"/>
  <c r="V134" i="18"/>
  <c r="G121" i="20"/>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W134" i="18" l="1"/>
  <c r="X134" i="18"/>
  <c r="X135" i="18"/>
  <c r="W135" i="18"/>
  <c r="G120" i="20"/>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9" i="18" s="1"/>
  <c r="F24" i="18" l="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V149"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<sst xmlns="http://schemas.openxmlformats.org/spreadsheetml/2006/main" count="13625" uniqueCount="5604">
  <si>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</si>
  <si>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</si>
  <si>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</si>
  <si>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</si>
  <si>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</si>
  <si>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</si>
  <si>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</si>
  <si>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</si>
  <si>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</si>
  <si>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</si>
  <si>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</si>
  <si>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</si>
  <si>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</si>
  <si>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</si>
  <si>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</si>
  <si>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</si>
  <si>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</si>
  <si>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</si>
  <si>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</si>
  <si>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</si>
  <si>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</si>
  <si>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</si>
  <si>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</si>
  <si>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</si>
  <si>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</si>
  <si>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</si>
  <si>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</si>
  <si>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</si>
  <si>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</si>
  <si>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</si>
  <si>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</si>
  <si>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</si>
  <si>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</si>
  <si>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</si>
  <si>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</si>
  <si>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</si>
  <si>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</si>
  <si>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</si>
  <si>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</si>
  <si>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</si>
  <si>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</si>
  <si>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</si>
  <si>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</si>
  <si>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</si>
  <si>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</si>
  <si>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</si>
  <si>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</si>
  <si>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</si>
  <si>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</si>
  <si>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</si>
  <si>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</si>
  <si>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</si>
  <si>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</si>
  <si>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</si>
  <si>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</si>
  <si>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</si>
  <si>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</si>
  <si>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</si>
  <si>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</si>
  <si>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</si>
  <si>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</si>
  <si>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</si>
  <si>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</si>
  <si>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</si>
  <si>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</si>
  <si>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</si>
  <si>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</si>
  <si>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</si>
  <si>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</si>
  <si>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</si>
  <si>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</si>
  <si>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</si>
  <si>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</si>
  <si>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</si>
  <si>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</si>
  <si>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</si>
  <si>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</si>
  <si>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</si>
  <si>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</si>
  <si>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</si>
  <si>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</si>
  <si>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</si>
  <si>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</si>
  <si>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</si>
  <si>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</si>
  <si>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</si>
  <si>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</si>
  <si>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</si>
  <si>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</si>
  <si>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</si>
  <si>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</si>
  <si>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</si>
  <si>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</si>
  <si>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</si>
  <si>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</si>
  <si>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</si>
  <si>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</si>
  <si>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</si>
  <si>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</si>
  <si>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</si>
  <si>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</si>
  <si>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</si>
  <si>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</si>
  <si>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</si>
  <si>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</si>
  <si>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</si>
  <si>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</si>
  <si>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</si>
  <si>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</si>
  <si>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</si>
  <si>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</si>
  <si>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</si>
  <si>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</si>
  <si>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</si>
  <si>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</si>
  <si>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</si>
  <si>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</si>
  <si>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</si>
  <si>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</si>
  <si>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</si>
  <si>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</si>
  <si>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</si>
  <si>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</si>
  <si>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</si>
  <si>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</si>
  <si>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</si>
  <si>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</si>
  <si>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</si>
  <si>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</si>
  <si>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</si>
  <si>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</si>
  <si>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</si>
  <si>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</si>
  <si>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</si>
  <si>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</si>
  <si>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</si>
  <si>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</si>
  <si>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</si>
  <si>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</si>
  <si>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</si>
  <si>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</si>
  <si>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</si>
  <si>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</si>
  <si>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</si>
  <si>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</si>
  <si>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</si>
  <si>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</si>
  <si>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</si>
  <si>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</si>
  <si>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</si>
  <si>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</si>
  <si>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</si>
  <si>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</si>
  <si>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</si>
  <si>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</si>
  <si>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</si>
  <si>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</si>
  <si>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</si>
  <si>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</si>
  <si>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</si>
  <si>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</si>
  <si>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</si>
  <si>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</si>
  <si>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</si>
  <si>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</si>
  <si>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</si>
  <si>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</si>
  <si>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</si>
  <si>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</si>
  <si>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</si>
  <si>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</si>
  <si>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</si>
  <si>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</si>
  <si>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</si>
  <si>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</si>
  <si>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</si>
  <si>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</si>
  <si>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</si>
  <si>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</si>
  <si>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</si>
  <si>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</si>
  <si>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</si>
  <si>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</si>
  <si>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</si>
  <si>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</si>
  <si>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</si>
  <si>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</si>
  <si>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</si>
  <si>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</si>
  <si>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</si>
  <si>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</si>
  <si>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</si>
  <si>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</si>
  <si>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</si>
  <si>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</si>
  <si>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</si>
  <si>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</si>
  <si>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</si>
  <si>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</si>
  <si>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</si>
  <si>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</si>
  <si>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</si>
  <si>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</si>
  <si>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</si>
  <si>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</si>
  <si>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</si>
  <si>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</si>
  <si>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</si>
  <si>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</si>
  <si>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</si>
  <si>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</si>
  <si>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</si>
  <si>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</si>
  <si>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</si>
  <si>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</si>
  <si>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</si>
  <si>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</si>
  <si>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</si>
  <si>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</si>
  <si>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</si>
  <si>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</si>
  <si>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</si>
  <si>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</si>
  <si>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</si>
  <si>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</si>
  <si>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</si>
  <si>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</si>
  <si>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</si>
  <si>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</si>
  <si>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</si>
  <si>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</si>
  <si>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</si>
  <si>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</si>
  <si>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</si>
  <si>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</si>
  <si>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</si>
  <si>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</si>
  <si>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</si>
  <si>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</si>
  <si>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</si>
  <si>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</si>
  <si>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</si>
  <si>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</si>
  <si>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</si>
  <si>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</si>
  <si>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</si>
  <si>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</si>
  <si>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</si>
  <si>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</si>
  <si>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</si>
  <si>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</si>
  <si>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</si>
  <si>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</si>
  <si>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</si>
  <si>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</si>
  <si>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</si>
  <si>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</si>
  <si>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</si>
  <si>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</si>
  <si>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</si>
  <si>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</si>
  <si>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</si>
  <si>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</si>
  <si>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</si>
  <si>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</si>
  <si>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</si>
  <si>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</si>
  <si>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</si>
  <si>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</si>
  <si>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</si>
  <si>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</si>
  <si>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</si>
  <si>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</si>
  <si>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</si>
  <si>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</si>
  <si>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</si>
  <si>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</si>
  <si>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</si>
  <si>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</si>
  <si>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</si>
  <si>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</si>
  <si>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</si>
  <si>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</si>
  <si>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</si>
  <si>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</si>
  <si>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</si>
  <si>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</si>
  <si>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</si>
  <si>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</si>
  <si>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</si>
  <si>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</si>
  <si>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</si>
  <si>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</si>
  <si>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</si>
  <si>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</si>
  <si>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</si>
  <si>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</si>
  <si>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</si>
  <si>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</si>
  <si>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</si>
  <si>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</si>
  <si>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</si>
  <si>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</si>
  <si>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</si>
  <si>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</si>
  <si>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</si>
  <si>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</si>
  <si>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</si>
  <si>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</si>
  <si>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</si>
  <si>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</si>
  <si>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</si>
  <si>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</si>
  <si>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</si>
  <si>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</si>
  <si>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</si>
  <si>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</si>
  <si>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</si>
  <si>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</si>
  <si>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</si>
  <si>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</si>
  <si>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</si>
  <si>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</si>
  <si>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</si>
  <si>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</si>
  <si>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</si>
  <si>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</si>
  <si>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</si>
  <si>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</si>
  <si>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</si>
  <si>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</si>
  <si>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</si>
  <si>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</si>
  <si>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</si>
  <si>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</si>
  <si>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</si>
  <si>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</si>
  <si>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</si>
  <si>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</si>
  <si>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</si>
  <si>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</si>
  <si>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</si>
  <si>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</si>
  <si>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</si>
  <si>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</si>
  <si>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</si>
  <si>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</si>
  <si>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</si>
  <si>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</si>
  <si>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</si>
  <si>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</si>
  <si>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</si>
  <si>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</si>
  <si>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</si>
  <si>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</si>
  <si>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</si>
  <si>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</si>
  <si>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</si>
  <si>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</si>
  <si>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</si>
  <si>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</si>
  <si>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</si>
  <si>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</si>
  <si>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</si>
  <si>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</si>
  <si>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</si>
  <si>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</si>
  <si>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</si>
  <si>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</si>
  <si>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</si>
  <si>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</si>
  <si>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</si>
  <si>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</si>
  <si>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</si>
  <si>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</si>
  <si>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</si>
  <si>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</si>
  <si>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</si>
  <si>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</si>
  <si>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</si>
  <si>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</si>
  <si>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</si>
  <si>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</si>
  <si>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</si>
  <si>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</si>
  <si>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</si>
  <si>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</si>
  <si>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</si>
  <si>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</si>
  <si>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</si>
  <si>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</si>
  <si>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</si>
  <si>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</si>
  <si>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</si>
  <si>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</si>
  <si>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</si>
  <si>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</si>
  <si>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</si>
  <si>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</si>
  <si>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</si>
  <si>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</si>
  <si>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</si>
  <si>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</si>
  <si>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</si>
  <si>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</si>
  <si>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</si>
  <si>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</si>
  <si>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</si>
  <si>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</si>
  <si>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</si>
  <si>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</si>
  <si>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</si>
  <si>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</si>
  <si>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</si>
  <si>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</si>
  <si>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</si>
  <si>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</si>
  <si>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</si>
  <si>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</si>
  <si>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</si>
  <si>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</si>
  <si>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</si>
  <si>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</si>
  <si>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</si>
  <si>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</si>
  <si>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</si>
  <si>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</si>
  <si>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</si>
  <si>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</si>
  <si>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</si>
  <si>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</si>
  <si>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</si>
  <si>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</si>
  <si>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</si>
  <si>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</si>
  <si>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</si>
  <si>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</si>
  <si>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</si>
  <si>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</si>
  <si>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</si>
  <si>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</si>
  <si>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</si>
  <si>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</si>
  <si>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</si>
  <si>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</si>
  <si>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</si>
  <si>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</si>
  <si>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</si>
  <si>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</si>
  <si>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</si>
  <si>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</si>
  <si>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</si>
  <si>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</si>
  <si>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</si>
  <si>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</si>
  <si>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</si>
  <si>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</si>
  <si>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</si>
  <si>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</si>
  <si>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</si>
  <si>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</si>
  <si>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</si>
  <si>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</si>
  <si>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</si>
  <si>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</si>
  <si>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</si>
  <si>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</si>
  <si>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</si>
  <si>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</si>
  <si>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</si>
  <si>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</si>
  <si>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</si>
  <si>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</si>
  <si>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</si>
  <si>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</si>
  <si>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</si>
  <si>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</si>
  <si>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</si>
  <si>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</si>
  <si>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</si>
  <si>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</si>
  <si>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</si>
  <si>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</si>
  <si>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</si>
  <si>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</si>
  <si>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</si>
  <si>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</si>
  <si>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</si>
  <si>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</si>
  <si>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</si>
  <si>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</si>
  <si>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</si>
  <si>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</si>
  <si>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</si>
  <si>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</si>
  <si>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</si>
  <si>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</si>
  <si>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</si>
  <si>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</si>
  <si>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</si>
  <si>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</si>
  <si>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</si>
  <si>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</si>
  <si>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</si>
  <si>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</si>
  <si>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</si>
  <si>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</si>
  <si>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</si>
  <si>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</si>
  <si>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</si>
  <si>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</si>
  <si>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</si>
  <si>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</si>
  <si>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</si>
  <si>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</si>
  <si>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</si>
  <si>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</si>
  <si>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</si>
  <si>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</si>
  <si>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</si>
  <si>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</si>
  <si>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</si>
  <si>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</si>
  <si>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</si>
  <si>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</si>
  <si>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</si>
  <si>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</si>
  <si>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</si>
  <si>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</si>
  <si>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</si>
  <si>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</si>
  <si>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</si>
  <si>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</si>
  <si>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</si>
  <si>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</si>
  <si>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</si>
  <si>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</si>
  <si>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</si>
  <si>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</si>
  <si>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</si>
  <si>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</si>
  <si>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</si>
  <si>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</si>
  <si>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</si>
  <si>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</si>
  <si>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</si>
  <si>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</si>
  <si>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</si>
  <si>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</si>
  <si>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</si>
  <si>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</si>
  <si>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</si>
  <si>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</si>
  <si>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</si>
  <si>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</si>
  <si>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</si>
  <si>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</si>
  <si>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</si>
  <si>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</si>
  <si>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</si>
  <si>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</si>
  <si>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</si>
  <si>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</si>
  <si>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</si>
  <si>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</si>
  <si>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</si>
  <si>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</si>
  <si>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</si>
  <si>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</si>
  <si>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</si>
  <si>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</si>
  <si>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</si>
  <si>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</si>
  <si>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</si>
  <si>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</si>
  <si>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</si>
  <si>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</si>
  <si>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</si>
  <si>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</si>
  <si>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</si>
  <si>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</si>
  <si>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</si>
  <si>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</si>
  <si>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</si>
  <si>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</si>
  <si>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</si>
  <si>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</si>
  <si>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</si>
  <si>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</si>
  <si>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</si>
  <si>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</si>
  <si>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</si>
  <si>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</si>
  <si>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</si>
  <si>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</si>
  <si>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</si>
  <si>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</si>
  <si>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</si>
  <si>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</si>
  <si>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</si>
  <si>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</si>
  <si>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</si>
  <si>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</si>
  <si>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</si>
  <si>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</si>
  <si>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</si>
  <si>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</si>
  <si>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</si>
  <si>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</si>
  <si>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</si>
  <si>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</si>
  <si>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</si>
  <si>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</si>
  <si>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</si>
  <si>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</si>
  <si>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</si>
  <si>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</si>
  <si>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</si>
  <si>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</si>
  <si>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</si>
  <si>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</si>
  <si>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</si>
  <si>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</si>
  <si>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</si>
  <si>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</si>
  <si>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</si>
  <si>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</si>
  <si>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</si>
  <si>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</si>
  <si>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</si>
  <si>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</si>
  <si>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</si>
  <si>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</si>
  <si>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</si>
  <si>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</si>
  <si>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</si>
  <si>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</si>
  <si>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</si>
  <si>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</si>
  <si>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</si>
  <si>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</si>
  <si>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</si>
  <si>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</si>
  <si>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</si>
  <si>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</si>
  <si>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</si>
  <si>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</si>
  <si>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</si>
  <si>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</si>
  <si>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</si>
  <si>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</si>
  <si>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</si>
  <si>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</si>
  <si>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</si>
  <si>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</si>
  <si>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</si>
  <si>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</si>
  <si>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</si>
  <si>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</si>
  <si>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</si>
  <si>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</si>
  <si>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</si>
  <si>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</si>
  <si>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</si>
  <si>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</si>
  <si>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</si>
  <si>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</si>
  <si>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</si>
  <si>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</si>
  <si>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</si>
  <si>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</si>
  <si>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</si>
  <si>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</si>
  <si>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</si>
  <si>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</si>
  <si>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</si>
  <si>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</si>
  <si>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</si>
  <si>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</si>
  <si>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</si>
  <si>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</si>
  <si>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</si>
  <si>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</si>
  <si>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</si>
  <si>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</si>
  <si>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</si>
  <si>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</si>
  <si>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</si>
  <si>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</si>
  <si>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</si>
  <si>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</si>
  <si>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</si>
  <si>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</si>
  <si>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</si>
  <si>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</si>
  <si>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</si>
  <si>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</si>
  <si>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</si>
  <si>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</si>
  <si>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</si>
  <si>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</si>
  <si>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</si>
  <si>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</si>
  <si>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</si>
  <si>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</si>
  <si>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</si>
  <si>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</si>
  <si>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</si>
  <si>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</si>
  <si>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</si>
  <si>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</si>
  <si>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</si>
  <si>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</si>
  <si>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</si>
  <si>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</si>
  <si>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</si>
  <si>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</si>
  <si>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</si>
  <si>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</si>
  <si>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</si>
  <si>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</si>
  <si>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</si>
  <si>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</si>
  <si>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</si>
  <si>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</si>
  <si>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</si>
  <si>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</si>
  <si>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</si>
  <si>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</si>
  <si>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</si>
  <si>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</si>
  <si>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</si>
  <si>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</si>
  <si>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</si>
  <si>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</si>
  <si>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</si>
  <si>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</si>
  <si>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</si>
  <si>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</si>
  <si>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</si>
  <si>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</si>
  <si>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</si>
  <si>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</si>
  <si>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</si>
  <si>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</si>
  <si>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</si>
  <si>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</si>
  <si>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</si>
  <si>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</si>
  <si>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</si>
  <si>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</si>
  <si>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</si>
  <si>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</si>
  <si>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</si>
  <si>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</si>
  <si>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</si>
  <si>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</si>
  <si>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</si>
  <si>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</si>
  <si>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</si>
  <si>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</si>
  <si>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</si>
  <si>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</si>
  <si>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</si>
  <si>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</si>
  <si>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</si>
  <si>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</si>
  <si>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</si>
  <si>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</si>
  <si>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</si>
  <si>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</si>
  <si>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</si>
  <si>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</si>
  <si>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</si>
  <si>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</si>
  <si>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</si>
  <si>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</si>
  <si>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</si>
  <si>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</si>
  <si>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</si>
  <si>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</si>
  <si>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</si>
  <si>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</si>
  <si>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</si>
  <si>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</si>
  <si>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</si>
  <si>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</si>
  <si>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</si>
  <si>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</si>
  <si>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</si>
  <si>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</si>
  <si>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</si>
  <si>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</si>
  <si>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</si>
  <si>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</si>
  <si>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</si>
  <si>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</si>
  <si>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</si>
  <si>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</si>
  <si>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</si>
  <si>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</si>
  <si>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</si>
  <si>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</si>
  <si>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</si>
  <si>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</si>
  <si>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</si>
  <si>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</si>
  <si>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</si>
  <si>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</si>
  <si>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</si>
  <si>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</si>
  <si>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</si>
  <si>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</si>
  <si>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</si>
  <si>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</si>
  <si>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</si>
  <si>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</si>
  <si>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</si>
  <si>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</si>
  <si>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</si>
  <si>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</si>
  <si>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</si>
  <si>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</si>
  <si>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</si>
  <si>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</si>
  <si>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</si>
  <si>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</si>
  <si>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</si>
  <si>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</si>
  <si>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</si>
  <si>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</si>
  <si>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</si>
  <si>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</si>
  <si>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</si>
  <si>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</si>
  <si>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</si>
  <si>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</si>
  <si>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</si>
  <si>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</si>
  <si>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</si>
  <si>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</si>
  <si>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</si>
  <si>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</si>
  <si>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</si>
  <si>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</si>
  <si>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</si>
  <si>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</si>
  <si>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</si>
  <si>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</si>
  <si>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</si>
  <si>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</si>
  <si>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</si>
  <si>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</si>
  <si>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</si>
  <si>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</si>
  <si>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</si>
  <si>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</si>
  <si>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</si>
  <si>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</si>
  <si>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</si>
  <si>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</si>
  <si>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</si>
  <si>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</si>
  <si>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</si>
  <si>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</si>
  <si>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</si>
  <si>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</si>
  <si>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</si>
  <si>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</si>
  <si>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</si>
  <si>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</si>
  <si>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</si>
  <si>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</si>
  <si>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</si>
  <si>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</si>
  <si>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</si>
  <si>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</si>
  <si>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</si>
  <si>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</si>
  <si>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</si>
  <si>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</si>
  <si>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</si>
  <si>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</si>
  <si>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</si>
  <si>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</si>
  <si>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</si>
  <si>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</si>
  <si>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</si>
  <si>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</si>
  <si>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</si>
  <si>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</si>
  <si>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</si>
  <si>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</si>
  <si>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</si>
  <si>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</si>
  <si>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</si>
  <si>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</si>
  <si>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</si>
  <si>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</si>
  <si>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</si>
  <si>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</si>
  <si>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</si>
  <si>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</si>
  <si>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</si>
  <si>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</si>
  <si>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</si>
  <si>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</si>
  <si>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</si>
  <si>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</si>
  <si>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</si>
  <si>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</si>
  <si>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</si>
  <si>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</si>
  <si>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</si>
  <si>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</si>
  <si>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</si>
  <si>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</si>
  <si>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</si>
  <si>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</si>
  <si>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</si>
  <si>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</si>
  <si>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</si>
  <si>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</si>
  <si>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</si>
  <si>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</si>
  <si>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</si>
  <si>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</si>
  <si>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</si>
  <si>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</si>
  <si>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</si>
  <si>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</si>
  <si>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</si>
  <si>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</si>
  <si>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</si>
  <si>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</si>
  <si>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</si>
  <si>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</si>
  <si>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</si>
  <si>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</si>
  <si>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</si>
  <si>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</si>
  <si>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</si>
  <si>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</si>
  <si>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</si>
  <si>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</si>
  <si>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</si>
  <si>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</si>
  <si>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</si>
  <si>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</si>
  <si>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</si>
  <si>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</si>
  <si>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</si>
  <si>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</si>
  <si>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</si>
  <si>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</si>
  <si>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</si>
  <si>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</si>
  <si>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</si>
  <si>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</si>
  <si>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</si>
  <si>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</si>
  <si>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</si>
  <si>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</si>
  <si>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</si>
  <si>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</si>
  <si>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</si>
  <si>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</si>
  <si>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</si>
  <si>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</si>
  <si>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</si>
  <si>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</si>
  <si>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</si>
  <si>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</si>
  <si>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</si>
  <si>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</si>
  <si>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</si>
  <si>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</si>
  <si>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</si>
  <si>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</si>
  <si>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</si>
  <si>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</si>
  <si>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</si>
  <si>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</si>
  <si>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</si>
  <si>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</si>
  <si>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</si>
  <si>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</si>
  <si>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</si>
  <si>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</si>
  <si>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</si>
  <si>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</si>
  <si>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</si>
  <si>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</si>
  <si>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</si>
  <si>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</si>
  <si>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</si>
  <si>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</si>
  <si>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</si>
  <si>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</si>
  <si>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</si>
  <si>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</si>
  <si>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</si>
  <si>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</si>
  <si>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</si>
  <si>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</si>
  <si>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</si>
  <si>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</si>
  <si>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</si>
  <si>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</si>
  <si>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</si>
  <si>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</si>
  <si>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</si>
  <si>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</si>
  <si>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</si>
  <si>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</si>
  <si>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</si>
  <si>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</si>
  <si>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</si>
  <si>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</si>
  <si>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</si>
  <si>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</si>
  <si>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</si>
  <si>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</si>
  <si>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</si>
  <si>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</si>
  <si>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</si>
  <si>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</si>
  <si>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</si>
  <si>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</si>
  <si>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</si>
  <si>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</si>
  <si>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</si>
  <si>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</si>
  <si>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</si>
  <si>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</si>
  <si>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</si>
  <si>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</si>
  <si>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</si>
  <si>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</si>
  <si>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</si>
  <si>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</si>
  <si>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</si>
  <si>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</si>
  <si>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</si>
  <si>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</si>
  <si>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</si>
  <si>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</si>
  <si>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</si>
  <si>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</si>
  <si>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</si>
  <si>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</si>
  <si>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</si>
  <si>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</si>
  <si>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</si>
  <si>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</si>
  <si>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</si>
  <si>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</si>
  <si>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</si>
  <si>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</si>
  <si>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</si>
  <si>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</si>
  <si>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</si>
  <si>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</si>
  <si>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</si>
  <si>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</si>
  <si>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</si>
  <si>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</si>
  <si>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</si>
  <si>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</si>
  <si>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</si>
  <si>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</si>
  <si>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</si>
  <si>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</si>
  <si>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</si>
  <si>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</si>
  <si>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</si>
  <si>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</si>
  <si>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</si>
  <si>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</si>
  <si>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</si>
  <si>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</si>
  <si>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</si>
  <si>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</si>
  <si>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</si>
  <si>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</si>
  <si>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</si>
  <si>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</si>
  <si>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</si>
  <si>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</si>
  <si>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</si>
  <si>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</si>
  <si>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</si>
  <si>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</si>
  <si>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</si>
  <si>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</si>
  <si>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</si>
  <si>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</si>
  <si>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</si>
  <si>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</si>
  <si>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</si>
  <si>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</si>
  <si>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</si>
  <si>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</si>
  <si>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</si>
  <si>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</si>
  <si>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</si>
  <si>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</si>
  <si>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</si>
  <si>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</si>
  <si>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</si>
  <si>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</si>
  <si>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</si>
  <si>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</si>
  <si>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</si>
  <si>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</si>
  <si>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</si>
  <si>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</si>
  <si>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</si>
  <si>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</si>
  <si>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</si>
  <si>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</si>
  <si>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</si>
  <si>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</si>
  <si>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</si>
  <si>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</si>
  <si>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</si>
  <si>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</si>
  <si>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</si>
  <si>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</si>
  <si>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</si>
  <si>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</si>
  <si>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</si>
  <si>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</si>
  <si>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</si>
  <si>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</si>
  <si>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</si>
  <si>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</si>
  <si>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</si>
  <si>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</si>
  <si>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</si>
  <si>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</si>
  <si>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</si>
  <si>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</si>
  <si>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</si>
  <si>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</si>
  <si>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</si>
  <si>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</si>
  <si>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</si>
  <si>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</si>
  <si>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</si>
  <si>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</si>
  <si>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</si>
  <si>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</si>
  <si>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</si>
  <si>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</si>
  <si>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</si>
  <si>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</si>
  <si>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</si>
  <si>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</si>
  <si>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</si>
  <si>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</si>
  <si>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</si>
  <si>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</si>
  <si>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</si>
  <si>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</si>
  <si>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</si>
  <si>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</si>
  <si>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</si>
  <si>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</si>
  <si>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</si>
  <si>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</si>
  <si>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</si>
  <si>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</si>
  <si>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</si>
  <si>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</si>
  <si>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</si>
  <si>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</si>
  <si>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</si>
  <si>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</si>
  <si>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</si>
  <si>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</si>
  <si>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</si>
  <si>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</si>
  <si>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</si>
  <si>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</si>
  <si>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</si>
  <si>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</si>
  <si>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</si>
  <si>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</si>
  <si>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</si>
  <si>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</si>
  <si>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</si>
  <si>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</si>
  <si>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</si>
  <si>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</si>
  <si>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</si>
  <si>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</si>
  <si>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</si>
  <si>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</si>
  <si>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</si>
  <si>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</si>
  <si>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</si>
  <si>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</si>
  <si>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</si>
  <si>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</si>
  <si>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</si>
  <si>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</si>
  <si>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</si>
  <si>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</si>
  <si>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</si>
  <si>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</si>
  <si>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</si>
  <si>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</si>
  <si>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</si>
  <si>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</si>
  <si>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</si>
  <si>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</si>
  <si>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</si>
  <si>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</si>
  <si>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</si>
  <si>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</si>
  <si>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</si>
  <si>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</si>
  <si>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</si>
  <si>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</si>
  <si>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</si>
  <si>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</si>
  <si>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</si>
  <si>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</si>
  <si>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</si>
  <si>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</si>
  <si>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</si>
  <si>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</si>
  <si>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</si>
  <si>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</si>
  <si>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</si>
  <si>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</si>
  <si>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</si>
  <si>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</si>
  <si>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</si>
  <si>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</si>
  <si>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</si>
  <si>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</si>
  <si>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</si>
  <si>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</si>
  <si>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</si>
  <si>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</si>
  <si>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</si>
  <si>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</si>
  <si>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</si>
  <si>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</si>
  <si>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</si>
  <si>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</si>
  <si>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</si>
  <si>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</si>
  <si>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</si>
  <si>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</si>
  <si>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</si>
  <si>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</si>
  <si>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</si>
  <si>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</si>
  <si>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</si>
  <si>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</si>
  <si>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</si>
  <si>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</si>
  <si>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</si>
  <si>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</si>
  <si>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</si>
  <si>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</si>
  <si>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</si>
  <si>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</si>
  <si>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</si>
  <si>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</si>
  <si>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</si>
  <si>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</si>
  <si>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</si>
  <si>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</si>
  <si>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</si>
  <si>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</si>
  <si>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</si>
  <si>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</si>
  <si>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</si>
  <si>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</si>
  <si>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</si>
  <si>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</si>
  <si>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</si>
  <si>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</si>
  <si>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</si>
  <si>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</si>
  <si>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</si>
  <si>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</si>
  <si>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</si>
  <si>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</si>
  <si>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</si>
  <si>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</si>
  <si>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</si>
  <si>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</si>
  <si>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</si>
  <si>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</si>
  <si>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</si>
  <si>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</si>
  <si>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</si>
  <si>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</si>
  <si>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</si>
  <si>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</si>
  <si>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</si>
  <si>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</si>
  <si>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</si>
  <si>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</si>
  <si>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</si>
  <si>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</si>
  <si>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</si>
  <si>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</si>
  <si>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</si>
  <si>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</si>
  <si>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</si>
  <si>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</si>
  <si>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</si>
  <si>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</si>
  <si>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</si>
  <si>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</si>
  <si>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</si>
  <si>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</si>
  <si>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</si>
  <si>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</si>
  <si>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</si>
  <si>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</si>
  <si>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</si>
  <si>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</si>
  <si>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</si>
  <si>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</si>
  <si>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</si>
  <si>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</si>
  <si>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</si>
  <si>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</si>
  <si>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</si>
  <si>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</si>
  <si>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</si>
  <si>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</si>
  <si>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</si>
  <si>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</si>
  <si>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</si>
  <si>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</si>
  <si>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</si>
  <si>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</si>
  <si>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</si>
  <si>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</si>
  <si>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</si>
  <si>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</si>
  <si>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</si>
  <si>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</si>
  <si>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</si>
  <si>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</si>
  <si>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</si>
  <si>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</si>
  <si>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</si>
  <si>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</si>
  <si>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</si>
  <si>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</si>
  <si>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</si>
  <si>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</si>
  <si>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</si>
  <si>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</si>
  <si>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</si>
  <si>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</si>
  <si>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</si>
  <si>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</si>
  <si>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</si>
  <si>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</si>
  <si>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</si>
  <si>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</si>
  <si>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</si>
  <si>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</si>
  <si>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</si>
  <si>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</si>
  <si>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</si>
  <si>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</si>
  <si>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</si>
  <si>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</si>
  <si>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</si>
  <si>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</si>
  <si>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</si>
  <si>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</si>
  <si>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</si>
  <si>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</si>
  <si>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</si>
  <si>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</si>
  <si>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</si>
  <si>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</si>
  <si>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</si>
  <si>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</si>
  <si>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</si>
  <si>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</si>
  <si>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</si>
  <si>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</si>
  <si>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</si>
  <si>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</si>
  <si>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</si>
  <si>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</si>
  <si>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</si>
  <si>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</si>
  <si>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</si>
  <si>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</si>
  <si>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</si>
  <si>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</si>
  <si>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</si>
  <si>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</si>
  <si>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</si>
  <si>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</si>
  <si>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</si>
  <si>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</si>
  <si>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</si>
  <si>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</si>
  <si>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</si>
  <si>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</si>
  <si>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</si>
  <si>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</si>
  <si>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</si>
  <si>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</si>
  <si>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</si>
  <si>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</si>
  <si>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</si>
  <si>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</si>
  <si>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</si>
  <si>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</si>
  <si>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</si>
  <si>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</si>
  <si>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</si>
  <si>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</si>
  <si>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</si>
  <si>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</si>
  <si>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</si>
  <si>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</si>
  <si>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</si>
  <si>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</si>
  <si>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</si>
  <si>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</si>
  <si>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</si>
  <si>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</si>
  <si>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</si>
  <si>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</si>
  <si>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</si>
  <si>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</si>
  <si>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</si>
  <si>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</si>
  <si>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</si>
  <si>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</si>
  <si>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</si>
  <si>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</si>
  <si>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</si>
  <si>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</si>
  <si>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</si>
  <si>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</si>
  <si>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</si>
  <si>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</si>
  <si>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</si>
  <si>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</si>
  <si>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</si>
  <si>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</si>
  <si>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</si>
  <si>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</si>
  <si>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</si>
  <si>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</si>
  <si>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</si>
  <si>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</si>
  <si>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</si>
  <si>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</si>
  <si>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</si>
  <si>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</si>
  <si>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</si>
  <si>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</si>
  <si>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</si>
  <si>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</si>
  <si>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</si>
  <si>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</si>
  <si>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</si>
  <si>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</si>
  <si>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</si>
  <si>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</si>
  <si>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</si>
  <si>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</si>
  <si>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</si>
  <si>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</si>
  <si>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</si>
  <si>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</si>
  <si>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</si>
  <si>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</si>
  <si>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</si>
  <si>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</si>
  <si>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</si>
  <si>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</si>
  <si>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</si>
  <si>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</si>
  <si>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</si>
  <si>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</si>
  <si>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</si>
  <si>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</si>
  <si>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</si>
  <si>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</si>
  <si>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</si>
  <si>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</si>
  <si>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</si>
  <si>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</si>
  <si>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</si>
  <si>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</si>
  <si>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</si>
  <si>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</si>
  <si>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</si>
  <si>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</si>
  <si>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</si>
  <si>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</si>
  <si>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</si>
  <si>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</si>
  <si>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</si>
  <si>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</si>
  <si>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</si>
  <si>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</si>
  <si>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</si>
  <si>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</si>
  <si>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</si>
  <si>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</si>
  <si>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</si>
  <si>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</si>
  <si>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</si>
  <si>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</si>
  <si>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</si>
  <si>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</si>
  <si>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</si>
  <si>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</si>
  <si>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</si>
  <si>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</si>
  <si>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</si>
  <si>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</si>
  <si>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</si>
  <si>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</si>
  <si>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</si>
  <si>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</si>
  <si>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</si>
  <si>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</si>
  <si>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</si>
  <si>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</si>
  <si>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</si>
  <si>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</si>
  <si>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</si>
  <si>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</si>
  <si>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</si>
  <si>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</si>
  <si>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</si>
  <si>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</si>
  <si>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</si>
  <si>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</si>
  <si>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</si>
  <si>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</si>
  <si>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</si>
  <si>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</si>
  <si>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</si>
  <si>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</si>
  <si>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</si>
  <si>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</si>
  <si>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</si>
  <si>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</si>
  <si>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</si>
  <si>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</si>
  <si>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</si>
  <si>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</si>
  <si>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</si>
  <si>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</si>
  <si>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</si>
  <si>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</si>
  <si>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</si>
  <si>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</si>
  <si>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</si>
  <si>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</si>
  <si>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</si>
  <si>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</si>
  <si>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</si>
  <si>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</si>
  <si>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</si>
  <si>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</si>
  <si>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</si>
  <si>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</si>
  <si>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</si>
  <si>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</si>
  <si>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</si>
  <si>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</si>
  <si>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</si>
  <si>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</si>
  <si>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</si>
  <si>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</si>
  <si>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</si>
  <si>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</si>
  <si>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</si>
  <si>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</si>
  <si>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</si>
  <si>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</si>
  <si>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</si>
  <si>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</si>
  <si>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</si>
  <si>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</si>
  <si>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</si>
  <si>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</si>
  <si>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</si>
  <si>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</si>
  <si>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</si>
  <si>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</si>
  <si>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</si>
  <si>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</si>
  <si>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</si>
  <si>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</si>
  <si>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</si>
  <si>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</si>
  <si>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</si>
  <si>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</si>
  <si>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</si>
  <si>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</si>
  <si>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</si>
  <si>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</si>
  <si>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</si>
  <si>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</si>
  <si>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</si>
  <si>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</si>
  <si>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</si>
  <si>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</si>
  <si>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</si>
  <si>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</si>
  <si>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</si>
  <si>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</si>
  <si>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</si>
  <si>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</si>
  <si>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</si>
  <si>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</si>
  <si>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</si>
  <si>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</si>
  <si>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</si>
  <si>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</si>
  <si>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</si>
  <si>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</si>
  <si>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</si>
  <si>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</si>
  <si>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</si>
  <si>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</si>
  <si>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</si>
  <si>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</si>
  <si>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</si>
  <si>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</si>
  <si>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</si>
  <si>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</si>
  <si>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</si>
  <si>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</si>
  <si>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</si>
  <si>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</si>
  <si>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</si>
  <si>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</si>
  <si>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</si>
  <si>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</si>
  <si>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</si>
  <si>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</si>
  <si>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</si>
  <si>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</si>
  <si>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</si>
  <si>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</si>
  <si>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</si>
  <si>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</si>
  <si>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</si>
  <si>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</si>
  <si>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</si>
  <si>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</si>
  <si>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</si>
  <si>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</si>
  <si>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</si>
  <si>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</si>
  <si>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</si>
  <si>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</si>
  <si>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</si>
  <si>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</si>
  <si>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</si>
  <si>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</si>
  <si>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</si>
  <si>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</si>
  <si>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</si>
  <si>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</si>
  <si>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</si>
  <si>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</si>
  <si>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</si>
  <si>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</si>
  <si>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</si>
  <si>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</si>
  <si>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</si>
  <si>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</si>
  <si>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</si>
  <si>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</si>
  <si>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</si>
  <si>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</si>
  <si>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</si>
  <si>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</si>
  <si>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</si>
  <si>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</si>
  <si>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</si>
  <si>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</si>
  <si>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</si>
  <si>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</si>
  <si>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</si>
  <si>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</si>
  <si>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</si>
  <si>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</si>
  <si>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</si>
  <si>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</si>
  <si>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</si>
  <si>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</si>
  <si>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</si>
  <si>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</si>
  <si>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</si>
  <si>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</si>
  <si>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</si>
  <si>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</si>
  <si>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</si>
  <si>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</si>
  <si>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</si>
  <si>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</si>
  <si>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</si>
  <si>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</si>
  <si>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</si>
  <si>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</si>
  <si>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</si>
  <si>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</si>
  <si>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</si>
  <si>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</si>
  <si>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</si>
  <si>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</si>
  <si>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</si>
  <si>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</si>
  <si>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</si>
  <si>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</si>
  <si>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</si>
  <si>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</si>
  <si>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</si>
  <si>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</si>
  <si>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</si>
  <si>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</si>
  <si>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</si>
  <si>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</si>
  <si>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</si>
  <si>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</si>
  <si>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</si>
  <si>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</si>
  <si>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</si>
  <si>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</si>
  <si>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</si>
  <si>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</si>
  <si>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</si>
  <si>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</si>
  <si>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</si>
  <si>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</si>
  <si>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</si>
  <si>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</si>
  <si>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</si>
  <si>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</si>
  <si>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</si>
  <si>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</si>
  <si>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</si>
  <si>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</si>
  <si>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</si>
  <si>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</si>
  <si>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</si>
  <si>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</si>
  <si>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</si>
  <si>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</si>
  <si>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</si>
  <si>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</si>
  <si>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</si>
  <si>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</si>
  <si>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</si>
  <si>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</si>
  <si>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</si>
  <si>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</si>
  <si>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</si>
  <si>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</si>
  <si>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</si>
  <si>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</si>
  <si>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</si>
  <si>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</si>
  <si>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</si>
  <si>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</si>
  <si>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</si>
  <si>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</si>
  <si>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</si>
  <si>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</si>
  <si>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</si>
  <si>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</si>
  <si>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</si>
  <si>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</si>
  <si>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</si>
  <si>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</si>
  <si>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</si>
  <si>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</si>
  <si>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</si>
  <si>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</si>
  <si>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</si>
  <si>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</si>
  <si>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</si>
  <si>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</si>
  <si>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</si>
  <si>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</si>
  <si>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</si>
  <si>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</si>
  <si>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</si>
  <si>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</si>
  <si>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</si>
  <si>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</si>
  <si>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</si>
  <si>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</si>
  <si>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</si>
  <si>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</si>
  <si>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</si>
  <si>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</si>
  <si>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</si>
  <si>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</si>
  <si>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</si>
  <si>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</si>
  <si>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</si>
  <si>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</si>
  <si>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</si>
  <si>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</si>
  <si>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</si>
  <si>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</si>
  <si>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</si>
  <si>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</si>
  <si>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</si>
  <si>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</si>
  <si>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</si>
  <si>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</si>
  <si>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</si>
  <si>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</si>
  <si>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</si>
  <si>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</si>
  <si>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</si>
  <si>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</si>
  <si>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</si>
  <si>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</si>
  <si>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</si>
  <si>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</si>
  <si>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</si>
  <si>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</si>
  <si>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</si>
  <si>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</si>
  <si>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</si>
  <si>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</si>
  <si>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</si>
  <si>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</si>
  <si>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</si>
  <si>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</si>
  <si>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</si>
  <si>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</si>
  <si>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</si>
  <si>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</si>
  <si>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</si>
  <si>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</si>
  <si>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</si>
  <si>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</si>
  <si>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</si>
  <si>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</si>
  <si>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</si>
  <si>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</si>
  <si>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</si>
  <si>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</si>
  <si>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</si>
  <si>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</si>
  <si>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</si>
  <si>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</si>
  <si>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</si>
  <si>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</si>
  <si>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</si>
  <si>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</si>
  <si>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</si>
  <si>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</si>
  <si>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</si>
  <si>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</si>
  <si>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</si>
  <si>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</si>
  <si>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</si>
  <si>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</si>
  <si>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</si>
  <si>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</si>
  <si>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</si>
  <si>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</si>
  <si>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</si>
  <si>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</si>
  <si>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</si>
  <si>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</si>
  <si>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</si>
  <si>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</si>
  <si>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</si>
  <si>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</si>
  <si>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</si>
  <si>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</si>
  <si>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</si>
  <si>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</si>
  <si>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</si>
  <si>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</si>
  <si>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</si>
  <si>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</si>
  <si>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</si>
  <si>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</si>
  <si>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</si>
  <si>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</si>
  <si>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</si>
  <si>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</si>
  <si>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</si>
  <si>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</si>
  <si>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</si>
  <si>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</si>
  <si>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</si>
  <si>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</si>
  <si>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</si>
  <si>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</si>
  <si>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</si>
  <si>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</si>
  <si>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</si>
  <si>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</si>
  <si>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</si>
  <si>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</si>
  <si>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</si>
  <si>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</si>
  <si>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</si>
  <si>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</si>
  <si>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</si>
  <si>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</si>
  <si>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</si>
  <si>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</si>
  <si>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</si>
  <si>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</si>
  <si>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</si>
  <si>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</si>
  <si>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</si>
  <si>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</si>
  <si>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</si>
  <si>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</si>
  <si>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</si>
  <si>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</si>
  <si>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</si>
  <si>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</si>
  <si>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</si>
  <si>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</si>
  <si>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</si>
  <si>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</si>
  <si>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</si>
  <si>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</si>
  <si>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</si>
  <si>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</si>
  <si>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</si>
  <si>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</si>
  <si>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</si>
  <si>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</si>
  <si>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</si>
  <si>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</si>
  <si>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</si>
  <si>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</si>
  <si>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</si>
  <si>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</si>
  <si>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</si>
  <si>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</si>
  <si>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</si>
  <si>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</si>
  <si>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</si>
  <si>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</si>
  <si>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</si>
  <si>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</si>
  <si>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</si>
  <si>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</si>
  <si>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</si>
  <si>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</si>
  <si>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</si>
  <si>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</si>
  <si>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</si>
  <si>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</si>
  <si>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</si>
  <si>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</si>
  <si>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</si>
  <si>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</si>
  <si>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</si>
  <si>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</si>
  <si>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</si>
  <si>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</si>
  <si>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</si>
  <si>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</si>
  <si>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</si>
  <si>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</si>
  <si>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</si>
  <si>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</si>
  <si>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</si>
  <si>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</si>
  <si>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</si>
  <si>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</si>
  <si>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</si>
  <si>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</si>
  <si>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</si>
  <si>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</si>
  <si>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</si>
  <si>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</si>
  <si>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</si>
  <si>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</si>
  <si>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</si>
  <si>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</si>
  <si>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</si>
  <si>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</si>
  <si>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</si>
  <si>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</si>
  <si>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</si>
  <si>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</si>
  <si>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</si>
  <si>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</si>
  <si>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</si>
  <si>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</si>
  <si>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</si>
  <si>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</si>
  <si>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</si>
  <si>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</si>
  <si>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</si>
  <si>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</si>
  <si>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</si>
  <si>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</si>
  <si>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</si>
  <si>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</si>
  <si>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</si>
  <si>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</si>
  <si>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</si>
  <si>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</si>
  <si>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</si>
  <si>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</si>
  <si>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</si>
  <si>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</si>
  <si>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</si>
  <si>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</si>
  <si>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</si>
  <si>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</si>
  <si>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</si>
  <si>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</si>
  <si>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</si>
  <si>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</si>
  <si>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</si>
  <si>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</si>
  <si>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</si>
  <si>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</si>
  <si>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</si>
  <si>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</si>
  <si>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</si>
  <si>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</si>
  <si>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</si>
  <si>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</si>
  <si>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</si>
  <si>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</si>
  <si>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</si>
  <si>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</si>
  <si>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</si>
  <si>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</si>
  <si>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</si>
  <si>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</si>
  <si>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</si>
  <si>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</si>
  <si>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</si>
  <si>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</si>
  <si>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</si>
  <si>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</si>
  <si>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</si>
  <si>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</si>
  <si>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</si>
  <si>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</si>
  <si>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</si>
  <si>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</si>
  <si>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</si>
  <si>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</si>
  <si>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</si>
  <si>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</si>
  <si>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</si>
  <si>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</si>
  <si>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</si>
  <si>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</si>
  <si>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</si>
  <si>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</si>
  <si>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</si>
  <si>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</si>
  <si>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</si>
  <si>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</si>
  <si>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</si>
  <si>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</si>
  <si>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</si>
  <si>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</si>
  <si>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</si>
  <si>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</si>
  <si>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</si>
  <si>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</si>
  <si>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</si>
  <si>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</si>
  <si>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</si>
  <si>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</si>
  <si>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</si>
  <si>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</si>
  <si>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</si>
  <si>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</si>
  <si>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</si>
  <si>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</si>
  <si>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</si>
  <si>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</si>
  <si>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</si>
  <si>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</si>
  <si>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</si>
  <si>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</si>
  <si>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</si>
  <si>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</si>
  <si>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</si>
  <si>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</si>
  <si>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</si>
  <si>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</si>
  <si>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</si>
  <si>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</si>
  <si>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</si>
  <si>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</si>
  <si>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</si>
  <si>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</si>
  <si>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</si>
  <si>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</si>
  <si>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</si>
  <si>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</si>
  <si>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</si>
  <si>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</si>
  <si>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</si>
  <si>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</si>
  <si>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</si>
  <si>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</si>
  <si>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</si>
  <si>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</si>
  <si>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</si>
  <si>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</si>
  <si>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</si>
  <si>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</si>
  <si>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</si>
  <si>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</si>
  <si>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</si>
  <si>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</si>
  <si>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</si>
  <si>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</si>
  <si>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</si>
  <si>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</si>
  <si>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</si>
  <si>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</si>
  <si>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</si>
  <si>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</si>
  <si>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</si>
  <si>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</si>
  <si>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</si>
  <si>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</si>
  <si>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</si>
  <si>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</si>
  <si>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</si>
  <si>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</si>
  <si>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</si>
  <si>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</si>
  <si>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</si>
  <si>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</si>
  <si>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</si>
  <si>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</si>
  <si>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</si>
  <si>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</si>
  <si>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</si>
  <si>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</si>
  <si>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</si>
  <si>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</si>
  <si>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</si>
  <si>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</si>
  <si>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</si>
  <si>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</si>
  <si>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</si>
  <si>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</si>
  <si>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</si>
  <si>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</si>
  <si>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</si>
  <si>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</si>
  <si>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</si>
  <si>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</si>
  <si>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</si>
  <si>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</si>
  <si>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</si>
  <si>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</si>
  <si>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</si>
  <si>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</si>
  <si>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</si>
  <si>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</si>
  <si>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</si>
  <si>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</si>
  <si>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</si>
  <si>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</si>
  <si>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</si>
  <si>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</si>
  <si>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</si>
  <si>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</si>
  <si>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</si>
  <si>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</si>
  <si>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</si>
  <si>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</si>
  <si>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</si>
  <si>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</si>
  <si>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</si>
  <si>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</si>
  <si>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</si>
  <si>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</si>
  <si>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</si>
  <si>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</si>
  <si>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</si>
  <si>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</si>
  <si>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</si>
  <si>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</si>
  <si>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</si>
  <si>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</si>
  <si>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</si>
  <si>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</si>
  <si>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</si>
  <si>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</si>
  <si>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</si>
  <si>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</si>
  <si>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</si>
  <si>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</si>
  <si>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</si>
  <si>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</si>
  <si>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</si>
  <si>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</si>
  <si>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</si>
  <si>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</si>
  <si>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</si>
  <si>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</si>
  <si>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</si>
  <si>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</si>
  <si>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</si>
  <si>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</si>
  <si>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</si>
  <si>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</si>
  <si>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</si>
  <si>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</si>
  <si>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</si>
  <si>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</si>
  <si>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</si>
  <si>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</si>
  <si>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</si>
  <si>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</si>
  <si>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</si>
  <si>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</si>
  <si>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</si>
  <si>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</si>
  <si>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</si>
  <si>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</si>
  <si>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</si>
  <si>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</si>
  <si>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</si>
  <si>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</si>
  <si>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</si>
  <si>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</si>
  <si>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</si>
  <si>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</si>
  <si>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</si>
  <si>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</si>
  <si>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</si>
  <si>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</si>
  <si>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</si>
  <si>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</si>
  <si>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</si>
  <si>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</si>
  <si>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</si>
  <si>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</si>
  <si>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</si>
  <si>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</si>
  <si>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</si>
  <si>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</si>
  <si>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</si>
  <si>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</si>
  <si>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</si>
  <si>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</si>
  <si>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</si>
  <si>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</si>
  <si>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</si>
  <si>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</si>
  <si>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</si>
  <si>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</si>
  <si>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</si>
  <si>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</si>
  <si>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</si>
  <si>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</si>
  <si>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</si>
  <si>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</si>
  <si>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</si>
  <si>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</si>
  <si>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</si>
  <si>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</si>
  <si>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</si>
  <si>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</si>
  <si>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</si>
  <si>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</si>
  <si>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</si>
  <si>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</si>
  <si>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</si>
  <si>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</si>
  <si>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</si>
  <si>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</si>
  <si>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</si>
  <si>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</si>
  <si>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</si>
  <si>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</si>
  <si>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</si>
  <si>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</si>
  <si>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</si>
  <si>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</si>
  <si>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</si>
  <si>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</si>
  <si>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</si>
  <si>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</si>
  <si>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</si>
  <si>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</si>
  <si>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</si>
  <si>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</si>
  <si>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</si>
  <si>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</si>
  <si>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</si>
  <si>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</si>
  <si>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</si>
  <si>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</si>
  <si>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</si>
  <si>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</si>
  <si>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</si>
  <si>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</si>
  <si>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</si>
  <si>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</si>
  <si>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</si>
  <si>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</si>
  <si>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</si>
  <si>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</si>
  <si>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</si>
  <si>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</si>
  <si>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</si>
  <si>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</si>
  <si>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</si>
  <si>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</si>
  <si>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</si>
  <si>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</si>
  <si>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</si>
  <si>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</si>
  <si>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</si>
  <si>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</si>
  <si>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</si>
  <si>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</si>
  <si>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</si>
  <si>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</si>
  <si>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</si>
  <si>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</si>
  <si>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</si>
  <si>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</si>
  <si>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</si>
  <si>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</si>
  <si>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</si>
  <si>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</si>
  <si>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</si>
  <si>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</si>
  <si>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</si>
  <si>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</si>
  <si>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</si>
  <si>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</si>
  <si>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</si>
  <si>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</si>
  <si>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</si>
  <si>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</si>
  <si>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</si>
  <si>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</si>
  <si>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</si>
  <si>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</si>
  <si>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</si>
  <si>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</si>
  <si>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</si>
  <si>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</si>
  <si>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</si>
  <si>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</si>
  <si>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</si>
  <si>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</si>
  <si>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</si>
  <si>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</si>
  <si>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</si>
  <si>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</si>
  <si>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</si>
  <si>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</si>
  <si>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</si>
  <si>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</si>
  <si>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</si>
  <si>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</si>
  <si>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</si>
  <si>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</si>
  <si>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</si>
  <si>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</si>
  <si>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</si>
  <si>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</si>
  <si>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</si>
  <si>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</si>
  <si>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</si>
  <si>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</si>
  <si>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</si>
  <si>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</si>
  <si>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</si>
  <si>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</si>
  <si>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</si>
  <si>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</si>
  <si>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</si>
  <si>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</si>
  <si>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</si>
  <si>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</si>
  <si>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</si>
  <si>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</si>
  <si>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</si>
  <si>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</si>
  <si>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</si>
  <si>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</si>
  <si>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</si>
  <si>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</si>
  <si>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</si>
  <si>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</si>
  <si>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</si>
  <si>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</si>
  <si>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</si>
  <si>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</si>
  <si>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</si>
  <si>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</si>
  <si>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</si>
  <si>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</si>
  <si>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</si>
  <si>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</si>
  <si>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</si>
  <si>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</si>
  <si>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</si>
  <si>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</si>
  <si>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</si>
  <si>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</si>
  <si>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</si>
  <si>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</si>
  <si>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</si>
  <si>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</si>
  <si>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</si>
  <si>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</si>
  <si>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</si>
  <si>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</si>
  <si>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</si>
  <si>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</si>
  <si>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</si>
  <si>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</si>
  <si>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</si>
  <si>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</si>
  <si>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</si>
  <si>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</si>
  <si>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</si>
  <si>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</si>
  <si>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</si>
  <si>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</si>
  <si>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</si>
  <si>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</si>
  <si>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</si>
  <si>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</si>
  <si>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</si>
  <si>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</si>
  <si>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</si>
  <si>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</si>
  <si>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</si>
  <si>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</si>
  <si>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</si>
  <si>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</si>
  <si>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</si>
  <si>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</si>
  <si>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</si>
  <si>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</si>
  <si>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</si>
  <si>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</si>
  <si>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</si>
  <si>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</si>
  <si>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</si>
  <si>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</si>
  <si>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</si>
  <si>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</si>
  <si>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</si>
  <si>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</si>
  <si>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</si>
  <si>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</si>
  <si>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</si>
  <si>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</si>
  <si>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</si>
  <si>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</si>
  <si>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</si>
  <si>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</si>
  <si>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</si>
  <si>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</si>
  <si>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</si>
  <si>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</si>
  <si>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</si>
  <si>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</si>
  <si>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</si>
  <si>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</si>
  <si>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</si>
  <si>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</si>
  <si>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</si>
  <si>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</si>
  <si>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</si>
  <si>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</si>
  <si>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</si>
  <si>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</si>
  <si>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</si>
  <si>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</si>
  <si>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</si>
  <si>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</si>
  <si>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</si>
  <si>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</si>
  <si>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</si>
  <si>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</si>
  <si>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</si>
  <si>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</si>
  <si>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</si>
  <si>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</si>
  <si>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</si>
  <si>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</si>
  <si>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</si>
  <si>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</si>
  <si>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</si>
  <si>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</si>
  <si>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</si>
  <si>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</si>
  <si>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</si>
  <si>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</si>
  <si>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</si>
  <si>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</si>
  <si>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</si>
  <si>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</si>
  <si>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</si>
  <si>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</si>
  <si>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</si>
  <si>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</si>
  <si>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</si>
  <si>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</si>
  <si>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</si>
  <si>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</si>
  <si>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</si>
  <si>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</si>
  <si>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</si>
  <si>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</si>
  <si>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</si>
  <si>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</si>
  <si>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</si>
  <si>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</si>
  <si>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</si>
  <si>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</si>
  <si>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</si>
  <si>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</si>
  <si>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</si>
  <si>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</si>
  <si>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</si>
  <si>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</si>
  <si>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</si>
  <si>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</si>
  <si>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</si>
  <si>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</si>
  <si>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</si>
  <si>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</si>
  <si>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</si>
  <si>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</si>
  <si>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</si>
  <si>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</si>
  <si>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</si>
  <si>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</si>
  <si>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</si>
  <si>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</si>
  <si>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</si>
  <si>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</si>
  <si>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</si>
  <si>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</si>
  <si>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</si>
  <si>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</si>
  <si>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</si>
  <si>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</si>
  <si>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</si>
  <si>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</si>
  <si>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</si>
  <si>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</si>
  <si>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</si>
  <si>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</si>
  <si>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</si>
  <si>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</si>
  <si>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</si>
  <si>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</si>
  <si>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</si>
  <si>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</si>
  <si>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</si>
  <si>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</si>
  <si>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</si>
  <si>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</si>
  <si>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</si>
  <si>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</si>
  <si>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</si>
  <si>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</si>
  <si>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</si>
  <si>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</si>
  <si>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</si>
  <si>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</si>
  <si>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</si>
  <si>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</si>
  <si>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</si>
  <si>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</si>
  <si>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</si>
  <si>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</si>
  <si>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</si>
  <si>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</si>
  <si>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</si>
  <si>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</si>
  <si>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</si>
  <si>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</si>
  <si>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</si>
  <si>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</si>
  <si>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</si>
  <si>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</si>
  <si>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</si>
  <si>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</si>
  <si>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</si>
  <si>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</si>
  <si>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</si>
  <si>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</si>
  <si>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</si>
  <si>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</si>
  <si>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</si>
  <si>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</si>
  <si>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</si>
  <si>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</si>
  <si>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</si>
  <si>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</si>
  <si>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</si>
  <si>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</si>
  <si>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</si>
  <si>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</si>
  <si>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</si>
  <si>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</si>
  <si>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</si>
  <si>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</si>
  <si>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</si>
  <si>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</si>
  <si>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</si>
  <si>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</si>
  <si>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</si>
  <si>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</si>
  <si>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</si>
  <si>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</si>
  <si>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</si>
  <si>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</si>
  <si>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</si>
  <si>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</si>
  <si>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</si>
  <si>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</si>
  <si>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</si>
  <si>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</si>
  <si>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</si>
  <si>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</si>
  <si>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</si>
  <si>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</si>
  <si>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</si>
  <si>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</si>
  <si>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</si>
  <si>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</si>
  <si>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</si>
  <si>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</si>
  <si>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</si>
  <si>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</si>
  <si>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</si>
  <si>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</si>
  <si>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</si>
  <si>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</si>
  <si>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</si>
  <si>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</si>
  <si>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</si>
  <si>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</si>
  <si>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</si>
  <si>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</si>
  <si>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</si>
  <si>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</si>
  <si>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</si>
  <si>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</si>
  <si>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</si>
  <si>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</si>
  <si>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</si>
  <si>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</si>
  <si>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</si>
  <si>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</si>
  <si>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</si>
  <si>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</si>
  <si>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</si>
  <si>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</si>
  <si>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</si>
  <si>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</si>
  <si>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</si>
  <si>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</si>
  <si>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</si>
  <si>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</si>
  <si>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</si>
  <si>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</si>
  <si>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</si>
  <si>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</si>
  <si>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</si>
  <si>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</si>
  <si>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</si>
  <si>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</si>
  <si>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</si>
  <si>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</si>
  <si>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</si>
  <si>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</si>
  <si>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</si>
  <si>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</si>
  <si>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</si>
  <si>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</si>
  <si>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</si>
  <si>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</si>
  <si>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</si>
  <si>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</si>
  <si>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</si>
  <si>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</si>
  <si>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</si>
  <si>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</si>
  <si>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</si>
  <si>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</si>
  <si>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</si>
  <si>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</si>
  <si>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</si>
  <si>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</si>
  <si>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</si>
  <si>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</si>
  <si>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</si>
  <si>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</si>
  <si>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</si>
  <si>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</si>
  <si>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</si>
  <si>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</si>
  <si>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</si>
  <si>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</si>
  <si>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</si>
  <si>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</si>
  <si>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</si>
  <si>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</si>
  <si>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</si>
  <si>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</si>
  <si>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</si>
  <si>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</si>
  <si>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</si>
  <si>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</si>
  <si>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</si>
  <si>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</si>
  <si>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</si>
  <si>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</si>
  <si>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</si>
  <si>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</si>
  <si>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</si>
  <si>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</si>
  <si>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</si>
  <si>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</si>
  <si>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</si>
  <si>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</si>
  <si>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</si>
  <si>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</si>
  <si>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</si>
  <si>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</si>
  <si>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</si>
  <si>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</si>
  <si>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</si>
  <si>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</si>
  <si>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</si>
  <si>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</si>
  <si>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</si>
  <si>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</si>
  <si>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</si>
  <si>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</si>
  <si>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</si>
  <si>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</si>
  <si>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</si>
  <si>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</si>
  <si>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</si>
  <si>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</si>
  <si>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</si>
  <si>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</si>
  <si>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</si>
  <si>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</si>
  <si>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</si>
  <si>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</si>
  <si>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</si>
  <si>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</si>
  <si>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</si>
  <si>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</si>
  <si>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</si>
  <si>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</si>
  <si>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</si>
  <si>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</si>
  <si>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</si>
  <si>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</si>
  <si>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</si>
  <si>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</si>
  <si>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</si>
  <si>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</si>
  <si>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</si>
  <si>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</si>
  <si>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</si>
  <si>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</si>
  <si>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</si>
  <si>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</si>
  <si>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</si>
  <si>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</si>
  <si>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</si>
  <si>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</si>
  <si>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</si>
  <si>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</si>
  <si>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</si>
  <si>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</si>
  <si>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</si>
  <si>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</si>
  <si>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</si>
  <si>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</si>
  <si>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</si>
  <si>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</si>
  <si>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</si>
  <si>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</si>
  <si>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</si>
  <si>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</si>
  <si>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</si>
  <si>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</si>
  <si>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</si>
  <si>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</si>
  <si>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</si>
  <si>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</si>
  <si>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</si>
  <si>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</si>
  <si>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</si>
  <si>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</si>
  <si>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</si>
  <si>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</si>
  <si>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</si>
  <si>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</si>
  <si>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</si>
  <si>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</si>
  <si>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</si>
  <si>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</si>
  <si>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</si>
  <si>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</si>
  <si>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</si>
  <si>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</si>
  <si>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</si>
  <si>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</si>
  <si>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</si>
  <si>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</si>
  <si>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</si>
  <si>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</si>
  <si>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</si>
  <si>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</si>
  <si>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</si>
  <si>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</si>
  <si>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</si>
  <si>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</si>
  <si>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</si>
  <si>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</si>
  <si>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</si>
  <si>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</si>
  <si>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</si>
  <si>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</si>
  <si>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</si>
  <si>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</si>
  <si>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</si>
  <si>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</si>
  <si>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</si>
  <si>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</si>
  <si>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</si>
  <si>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</si>
  <si>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</si>
  <si>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</si>
  <si>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</si>
  <si>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</si>
  <si>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</si>
  <si>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</si>
  <si>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</si>
  <si>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</si>
  <si>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</si>
  <si>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</si>
  <si>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</si>
  <si>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</si>
  <si>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</si>
  <si>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</si>
  <si>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</si>
  <si>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</si>
  <si>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</si>
  <si>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</si>
  <si>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</si>
  <si>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</si>
  <si>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</si>
  <si>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</si>
  <si>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</si>
  <si>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</si>
  <si>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</si>
  <si>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</si>
  <si>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</si>
  <si>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</si>
  <si>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</si>
  <si>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</si>
  <si>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</si>
  <si>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</si>
  <si>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</si>
  <si>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</si>
  <si>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</si>
  <si>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</si>
  <si>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</si>
  <si>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</si>
  <si>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</si>
  <si>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</si>
  <si>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</si>
  <si>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</si>
  <si>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</si>
  <si>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</si>
  <si>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</si>
  <si>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</si>
  <si>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</si>
  <si>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</si>
  <si>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</si>
  <si>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</si>
  <si>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</si>
  <si>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</si>
  <si>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</si>
  <si>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</si>
  <si>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</si>
  <si>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</si>
  <si>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</si>
  <si>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</si>
  <si>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</si>
  <si>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</si>
  <si>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</si>
  <si>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</si>
  <si>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</si>
  <si>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</si>
  <si>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</si>
  <si>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</si>
  <si>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</si>
  <si>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</si>
  <si>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</si>
  <si>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</si>
  <si>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</si>
  <si>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</si>
  <si>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</si>
  <si>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</si>
  <si>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</si>
  <si>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</si>
  <si>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</si>
  <si>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</si>
  <si>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</si>
  <si>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</si>
  <si>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</si>
  <si>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</si>
  <si>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</si>
  <si>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</si>
  <si>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</si>
  <si>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</si>
  <si>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</si>
  <si>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</si>
  <si>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</si>
  <si>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</si>
  <si>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</si>
  <si>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</si>
  <si>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</si>
  <si>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</si>
  <si>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</si>
  <si>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</si>
  <si>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</si>
  <si>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</si>
  <si>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</si>
  <si>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</si>
  <si>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</si>
  <si>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</si>
  <si>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</si>
  <si>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</si>
  <si>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</si>
  <si>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</si>
  <si>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</si>
  <si>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</si>
  <si>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</si>
  <si>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</si>
  <si>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</si>
  <si>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</si>
  <si>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</si>
  <si>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</si>
  <si>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</si>
  <si>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</si>
  <si>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</si>
  <si>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</si>
  <si>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</si>
  <si>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</si>
  <si>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</si>
  <si>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</si>
  <si>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</si>
  <si>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</si>
  <si>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</si>
  <si>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</si>
  <si>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</si>
  <si>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</si>
  <si>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</si>
  <si>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</si>
  <si>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</si>
  <si>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</si>
  <si>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</si>
  <si>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</si>
  <si>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</si>
  <si>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</si>
  <si>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</si>
  <si>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</si>
  <si>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</si>
  <si>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</si>
  <si>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</si>
  <si>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</si>
  <si>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</si>
  <si>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</si>
  <si>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</si>
  <si>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</si>
  <si>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</si>
  <si>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</si>
  <si>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</si>
  <si>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</si>
  <si>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</si>
  <si>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</si>
  <si>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</si>
  <si>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</si>
  <si>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</si>
  <si>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</si>
  <si>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</si>
  <si>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</si>
  <si>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</si>
  <si>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</si>
  <si>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</si>
  <si>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</si>
  <si>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</si>
  <si>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</si>
  <si>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</si>
  <si>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</si>
  <si>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</si>
  <si>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</si>
  <si>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</si>
  <si>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</si>
  <si>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</si>
  <si>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</si>
  <si>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</si>
  <si>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</si>
  <si>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</si>
  <si>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</si>
  <si>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</si>
  <si>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</si>
  <si>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</si>
  <si>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</si>
  <si>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</si>
  <si>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</si>
  <si>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</si>
  <si>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</si>
  <si>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</si>
  <si>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</si>
  <si>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</si>
  <si>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</si>
  <si>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</si>
  <si>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</si>
  <si>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</si>
  <si>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</si>
  <si>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</si>
  <si>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</si>
  <si>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</si>
  <si>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</si>
  <si>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</si>
  <si>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</si>
  <si>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</si>
  <si>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</si>
  <si>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</si>
  <si>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</si>
  <si>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</si>
  <si>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</si>
  <si>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</si>
  <si>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</si>
  <si>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</si>
  <si>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</si>
  <si>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</si>
  <si>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</si>
  <si>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</si>
  <si>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</si>
  <si>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</si>
  <si>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</si>
  <si>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</si>
  <si>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</si>
  <si>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</si>
  <si>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</si>
  <si>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</si>
  <si>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</si>
  <si>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</si>
  <si>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</si>
  <si>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</si>
  <si>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</si>
  <si>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</si>
  <si>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</si>
  <si>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</si>
  <si>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</si>
  <si>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</si>
  <si>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</si>
  <si>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</si>
  <si>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</si>
  <si>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</si>
  <si>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</si>
  <si>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</si>
  <si>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</si>
  <si>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</si>
  <si>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</si>
  <si>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</si>
  <si>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</si>
  <si>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</si>
  <si>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</si>
  <si>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</si>
  <si>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</si>
  <si>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</si>
  <si>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</si>
  <si>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</si>
  <si>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</si>
  <si>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</si>
  <si>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</si>
  <si>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</si>
  <si>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</si>
  <si>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</si>
  <si>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</si>
  <si>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</si>
  <si>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</si>
  <si>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</si>
  <si>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</si>
  <si>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</si>
  <si>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</si>
  <si>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</si>
  <si>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</si>
  <si>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</si>
  <si>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</si>
  <si>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</si>
  <si>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</si>
  <si>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</si>
  <si>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</si>
  <si>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</si>
  <si>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</si>
  <si>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</si>
  <si>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</si>
  <si>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</si>
  <si>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</si>
  <si>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</si>
  <si>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</si>
  <si>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</si>
  <si>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</si>
  <si>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</si>
  <si>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</si>
  <si>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</si>
  <si>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</si>
  <si>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</si>
  <si>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</si>
  <si>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</si>
  <si>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</si>
  <si>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</si>
  <si>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</si>
  <si>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</si>
  <si>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</si>
  <si>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</si>
  <si>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</si>
  <si>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</si>
  <si>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</si>
  <si>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</si>
  <si>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</si>
  <si>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</si>
  <si>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</si>
  <si>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</si>
  <si>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</si>
  <si>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</si>
  <si>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</si>
  <si>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</si>
  <si>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</si>
  <si>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</si>
  <si>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</si>
  <si>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</si>
  <si>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</si>
  <si>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</si>
  <si>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</si>
  <si>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</si>
  <si>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</si>
  <si>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</si>
  <si>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</si>
  <si>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</si>
  <si>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</si>
  <si>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</si>
  <si>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</si>
  <si>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</si>
  <si>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</si>
  <si>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</si>
  <si>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</si>
  <si>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</si>
  <si>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</si>
  <si>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</si>
  <si>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</si>
  <si>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</si>
  <si>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</si>
  <si>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</si>
  <si>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</si>
  <si>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</si>
  <si>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</si>
  <si>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</si>
  <si>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</si>
  <si>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</si>
  <si>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</si>
  <si>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</si>
  <si>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</si>
  <si>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</si>
  <si>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</si>
  <si>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</si>
  <si>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</si>
  <si>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</si>
  <si>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</si>
  <si>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</si>
  <si>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</si>
  <si>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</si>
  <si>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</si>
  <si>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</si>
  <si>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</si>
  <si>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</si>
  <si>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</si>
  <si>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</si>
  <si>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</si>
  <si>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</si>
  <si>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</si>
  <si>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</si>
  <si>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</si>
  <si>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</si>
  <si>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</si>
  <si>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</si>
  <si>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</si>
  <si>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</si>
  <si>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</si>
  <si>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</si>
  <si>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</si>
  <si>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</si>
  <si>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</si>
  <si>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</si>
  <si>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</si>
  <si>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</si>
  <si>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</si>
  <si>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</si>
  <si>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</si>
  <si>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</si>
  <si>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</si>
  <si>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</si>
  <si>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</si>
  <si>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</si>
  <si>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</si>
  <si>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</si>
  <si>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</si>
  <si>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</si>
  <si>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</si>
  <si>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</si>
  <si>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</si>
  <si>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</si>
  <si>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</si>
  <si>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</si>
  <si>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</si>
  <si>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</si>
  <si>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</si>
  <si>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</si>
  <si>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</si>
  <si>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</si>
  <si>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</si>
  <si>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</si>
  <si>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</si>
  <si>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</si>
  <si>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</si>
  <si>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</si>
  <si>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</si>
  <si>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</si>
  <si>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</si>
  <si>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</si>
  <si>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</si>
  <si>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</si>
  <si>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</si>
  <si>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</si>
  <si>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</si>
  <si>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</si>
  <si>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</si>
  <si>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</si>
  <si>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</si>
  <si>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</si>
  <si>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</si>
  <si>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</si>
  <si>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</si>
  <si>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</si>
  <si>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</si>
  <si>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</si>
  <si>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</si>
  <si>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</si>
  <si>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</si>
  <si>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</si>
  <si>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</si>
  <si>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</si>
  <si>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</si>
  <si>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</si>
  <si>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</si>
  <si>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</si>
  <si>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</si>
  <si>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</si>
  <si>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</si>
  <si>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</si>
  <si>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</si>
  <si>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</si>
  <si>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</si>
  <si>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</si>
  <si>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</si>
  <si>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</si>
  <si>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</si>
  <si>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</si>
  <si>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</si>
  <si>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</si>
  <si>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</si>
  <si>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</si>
  <si>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</si>
  <si>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</si>
  <si>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</si>
  <si>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</si>
  <si>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</si>
  <si>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</si>
  <si>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</si>
  <si>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</si>
  <si>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</si>
  <si>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</si>
  <si>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</si>
  <si>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</si>
  <si>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</si>
  <si>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</si>
  <si>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</si>
  <si>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</si>
  <si>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</si>
  <si>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</si>
  <si>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</si>
  <si>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</si>
  <si>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</si>
  <si>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</si>
  <si>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</si>
  <si>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</si>
  <si>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</si>
  <si>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</si>
  <si>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</si>
  <si>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</si>
  <si>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</si>
  <si>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</si>
  <si>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</si>
  <si>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</si>
  <si>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</si>
  <si>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</si>
  <si>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</si>
  <si>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</si>
  <si>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</si>
  <si>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</si>
  <si>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</si>
  <si>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</si>
  <si>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</si>
  <si>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</si>
  <si>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</si>
  <si>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</si>
  <si>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</si>
  <si>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</si>
  <si>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</si>
  <si>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</si>
  <si>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</si>
  <si>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</si>
  <si>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</si>
  <si>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</si>
  <si>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</si>
  <si>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</si>
  <si>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</si>
  <si>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</si>
  <si>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</si>
  <si>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</si>
  <si>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</si>
  <si>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</si>
  <si>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</si>
  <si>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</si>
  <si>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</si>
  <si>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</si>
  <si>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</si>
  <si>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</si>
  <si>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</si>
  <si>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</si>
  <si>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</si>
  <si>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</si>
  <si>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</si>
  <si>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</si>
  <si>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</si>
  <si>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</si>
  <si>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</si>
  <si>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</si>
  <si>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</si>
  <si>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</si>
  <si>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</si>
  <si>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</si>
  <si>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</si>
  <si>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</si>
  <si>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</si>
  <si>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</si>
  <si>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</si>
  <si>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</si>
  <si>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</si>
  <si>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</si>
  <si>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</si>
  <si>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</si>
  <si>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</si>
  <si>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</si>
  <si>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</si>
  <si>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</si>
  <si>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</si>
  <si>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</si>
  <si>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</si>
  <si>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</si>
  <si>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</si>
  <si>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</si>
  <si>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</si>
  <si>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</si>
  <si>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</si>
  <si>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</si>
  <si>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</si>
  <si>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</si>
  <si>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</si>
  <si>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</si>
  <si>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</si>
  <si>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</si>
  <si>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</si>
  <si>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</si>
  <si>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</si>
  <si>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</si>
  <si>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</si>
  <si>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</si>
  <si>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</si>
  <si>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</si>
  <si>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</si>
  <si>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</si>
  <si>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</si>
  <si>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</si>
  <si>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</si>
  <si>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</si>
  <si>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</si>
  <si>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</si>
  <si>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</si>
  <si>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</si>
  <si>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</si>
  <si>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</si>
  <si>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</si>
  <si>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</si>
  <si>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</si>
  <si>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</si>
  <si>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</si>
  <si>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</si>
  <si>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</si>
  <si>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</si>
  <si>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</si>
  <si>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</si>
  <si>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</si>
  <si>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</si>
  <si>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</si>
  <si>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</si>
  <si>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</si>
  <si>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</si>
  <si>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</si>
  <si>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</si>
  <si>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</si>
  <si>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</si>
  <si>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</si>
  <si>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</si>
  <si>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</si>
  <si>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</si>
  <si>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</si>
  <si>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</si>
  <si>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</si>
  <si>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</si>
  <si>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</si>
  <si>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</si>
  <si>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</si>
  <si>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</si>
  <si>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</si>
  <si>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</si>
  <si>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</si>
  <si>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</si>
  <si>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</si>
  <si>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</si>
  <si>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</si>
  <si>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</si>
  <si>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</si>
  <si>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</si>
  <si>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</si>
  <si>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</si>
  <si>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</si>
  <si>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</si>
  <si>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</si>
  <si>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</si>
  <si>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</si>
  <si>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</si>
  <si>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</si>
  <si>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</si>
  <si>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</si>
  <si>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</si>
  <si>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</si>
  <si>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</si>
  <si>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</si>
  <si>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</si>
  <si>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</si>
  <si>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</si>
  <si>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</si>
  <si>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</si>
  <si>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</si>
  <si>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</si>
  <si>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</si>
  <si>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</si>
  <si>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</si>
  <si>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</si>
  <si>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</si>
  <si>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</si>
  <si>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</si>
  <si>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</si>
  <si>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</si>
  <si>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</si>
  <si>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</si>
  <si>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</si>
  <si>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</si>
  <si>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</si>
  <si>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</si>
  <si>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</si>
  <si>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</si>
  <si>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</si>
  <si>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</si>
  <si>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</si>
  <si>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</si>
  <si>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</si>
  <si>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</si>
  <si>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</si>
  <si>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</si>
  <si>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</si>
  <si>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</si>
  <si>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</si>
  <si>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</si>
  <si>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</si>
  <si>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</si>
  <si>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</si>
  <si>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</si>
  <si>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</si>
  <si>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</si>
  <si>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</si>
  <si>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</si>
  <si>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</si>
  <si>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</si>
  <si>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</si>
  <si>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</si>
  <si>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</si>
  <si>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</si>
  <si>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</si>
  <si>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</si>
  <si>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</si>
  <si>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</si>
  <si>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</si>
  <si>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</si>
  <si>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</si>
  <si>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</si>
  <si>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</si>
  <si>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</si>
  <si>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</si>
  <si>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</si>
  <si>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</si>
  <si>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</si>
  <si>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</si>
  <si>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</si>
  <si>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</si>
  <si>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</si>
  <si>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</si>
  <si>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</si>
  <si>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</si>
  <si>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</si>
  <si>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</si>
  <si>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</si>
  <si>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</si>
  <si>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</si>
  <si>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</si>
  <si>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</si>
  <si>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</si>
  <si>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</si>
  <si>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</si>
  <si>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</si>
  <si>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</si>
  <si>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</si>
  <si>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</si>
  <si>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</si>
  <si>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</si>
  <si>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</si>
  <si>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</si>
  <si>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</si>
  <si>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</si>
  <si>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</si>
  <si>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</si>
  <si>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</si>
  <si>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</si>
  <si>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</si>
  <si>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</si>
  <si>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</si>
  <si>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</si>
  <si>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</si>
  <si>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</si>
  <si>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</si>
  <si>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</si>
  <si>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</si>
  <si>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</si>
  <si>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</si>
  <si>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</si>
  <si>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</si>
  <si>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</si>
  <si>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</si>
  <si>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</si>
  <si>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</si>
  <si>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</si>
  <si>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</si>
  <si>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</si>
  <si>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</si>
  <si>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</si>
  <si>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</si>
  <si>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</si>
  <si>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</si>
  <si>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</si>
  <si>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</si>
  <si>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</si>
  <si>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</si>
  <si>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</si>
  <si>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</si>
  <si>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</si>
  <si>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</si>
  <si>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</si>
  <si>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</si>
  <si>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</si>
  <si>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</si>
  <si>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</si>
  <si>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</si>
  <si>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</si>
  <si>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</si>
  <si>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</si>
  <si>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</si>
  <si>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</si>
  <si>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</si>
  <si>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</si>
  <si>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</si>
  <si>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</si>
  <si>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</si>
  <si>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</si>
  <si>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</si>
  <si>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</si>
  <si>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</si>
  <si>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</si>
  <si>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</si>
  <si>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</si>
  <si>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</si>
  <si>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</si>
  <si>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</si>
  <si>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</si>
  <si>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</si>
  <si>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</si>
  <si>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</si>
  <si>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</si>
  <si>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</si>
  <si>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</si>
  <si>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</si>
  <si>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</si>
  <si>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</si>
  <si>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</si>
  <si>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</si>
  <si>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</si>
  <si>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</si>
  <si>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</si>
  <si>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</si>
  <si>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</si>
  <si>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</si>
  <si>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</si>
  <si>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</si>
  <si>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</si>
  <si>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</si>
  <si>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</si>
  <si>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</si>
  <si>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</si>
  <si>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</si>
  <si>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</si>
  <si>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</si>
  <si>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</si>
  <si>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</si>
  <si>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</si>
  <si>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</si>
  <si>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</si>
  <si>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</si>
  <si>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</si>
  <si>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</si>
  <si>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</si>
  <si>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</si>
  <si>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</si>
  <si>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</si>
  <si>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</si>
  <si>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</si>
  <si>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</si>
  <si>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</si>
  <si>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</si>
  <si>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</si>
  <si>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</si>
  <si>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</si>
  <si>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</si>
  <si>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</si>
  <si>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</si>
  <si>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</si>
  <si>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</si>
  <si>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</si>
  <si>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</si>
  <si>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</si>
  <si>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</si>
  <si>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</si>
  <si>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</si>
  <si>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</si>
  <si>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</si>
  <si>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</si>
  <si>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</si>
  <si>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</si>
  <si>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</si>
  <si>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</si>
  <si>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</si>
  <si>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</si>
  <si>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</si>
  <si>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</si>
  <si>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</si>
  <si>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</si>
  <si>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</si>
  <si>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</si>
  <si>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</si>
  <si>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</si>
  <si>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</si>
  <si>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</si>
  <si>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</si>
  <si>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</si>
  <si>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</si>
  <si>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</si>
  <si>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</si>
  <si>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</si>
  <si>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</si>
  <si>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</si>
  <si>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</si>
  <si>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</si>
  <si>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</si>
  <si>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</si>
  <si>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</si>
  <si>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</si>
  <si>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</si>
  <si>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</si>
  <si>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</si>
  <si>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</si>
  <si>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</si>
  <si>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</si>
  <si>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</si>
  <si>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</si>
  <si>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</si>
  <si>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</si>
  <si>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</si>
  <si>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</si>
  <si>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</si>
  <si>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</si>
  <si>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</si>
  <si>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</si>
  <si>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</si>
  <si>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</si>
  <si>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</si>
  <si>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</si>
  <si>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</si>
  <si>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</si>
  <si>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</si>
  <si>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</si>
  <si>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</si>
  <si>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</si>
  <si>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</si>
  <si>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</si>
  <si>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</si>
  <si>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</si>
  <si>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</si>
  <si>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</si>
  <si>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</si>
  <si>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</si>
  <si>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</si>
  <si>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</si>
  <si>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</si>
  <si>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</si>
  <si>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</si>
  <si>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</si>
  <si>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</si>
  <si>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</si>
  <si>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</si>
  <si>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</si>
  <si>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</si>
  <si>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</si>
  <si>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</si>
  <si>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</si>
  <si>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</si>
  <si>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</si>
  <si>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</si>
  <si>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</si>
  <si>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</si>
  <si>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</si>
  <si>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</si>
  <si>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</si>
  <si>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</si>
  <si>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</si>
  <si>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</si>
  <si>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</si>
  <si>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</si>
  <si>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</si>
  <si>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</si>
  <si>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</si>
  <si>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</si>
  <si>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</si>
  <si>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</si>
  <si>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</si>
  <si>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</si>
  <si>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</si>
  <si>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</si>
  <si>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</si>
  <si>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</si>
  <si>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</si>
  <si>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</si>
  <si>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</si>
  <si>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</si>
  <si>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</si>
  <si>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</si>
  <si>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</si>
  <si>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</si>
  <si>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</si>
  <si>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</si>
  <si>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</si>
  <si>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</si>
  <si>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</si>
  <si>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</si>
  <si>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</si>
  <si>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</si>
  <si>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</si>
  <si>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</si>
  <si>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</si>
  <si>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</si>
  <si>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</si>
  <si>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</si>
  <si>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</si>
  <si>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</si>
  <si>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</si>
  <si>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</si>
  <si>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</si>
  <si>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</si>
  <si>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</si>
  <si>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</si>
  <si>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</si>
  <si>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</si>
  <si>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</si>
  <si>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</si>
  <si>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</si>
  <si>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</si>
  <si>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</si>
  <si>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</si>
  <si>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</si>
  <si>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</si>
  <si>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</si>
  <si>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</si>
  <si>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</si>
  <si>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</si>
  <si>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</si>
  <si>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</si>
  <si>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</si>
  <si>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</si>
  <si>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</si>
  <si>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</si>
  <si>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</si>
  <si>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</si>
  <si>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</si>
  <si>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</si>
  <si>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</si>
  <si>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</si>
  <si>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</si>
  <si>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</si>
  <si>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</si>
  <si>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</si>
  <si>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</si>
  <si>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</si>
  <si>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</si>
  <si>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</si>
  <si>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</si>
  <si>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</si>
  <si>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</si>
  <si>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</si>
  <si>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</si>
  <si>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</si>
  <si>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</si>
  <si>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</si>
  <si>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</si>
  <si>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</si>
  <si>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</si>
  <si>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</si>
  <si>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</si>
  <si>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</si>
  <si>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</si>
  <si>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</si>
  <si>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</si>
  <si>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</si>
  <si>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</si>
  <si>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</si>
  <si>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</si>
  <si>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</si>
  <si>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</si>
  <si>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</si>
  <si>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</si>
  <si>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</si>
  <si>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</si>
  <si>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</si>
  <si>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</si>
  <si>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</si>
  <si>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</si>
  <si>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</si>
  <si>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</si>
  <si>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</si>
  <si>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</si>
  <si>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</si>
  <si>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</si>
  <si>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</si>
  <si>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</si>
  <si>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</si>
  <si>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</si>
  <si>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</si>
  <si>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</si>
  <si>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</si>
  <si>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</si>
  <si>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</si>
  <si>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</si>
  <si>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</si>
  <si>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</si>
  <si>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</si>
  <si>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</si>
  <si>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</si>
  <si>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</si>
  <si>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</si>
  <si>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</si>
  <si>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</si>
  <si>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</si>
  <si>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</si>
  <si>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</si>
  <si>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</si>
  <si>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</si>
  <si>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</si>
  <si>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</si>
  <si>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</si>
  <si>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</si>
  <si>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</si>
  <si>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</si>
  <si>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</si>
  <si>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</si>
  <si>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</si>
  <si>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</si>
  <si>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</si>
  <si>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</si>
  <si>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</si>
  <si>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</si>
  <si>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</si>
  <si>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</si>
  <si>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</si>
  <si>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</si>
  <si>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</si>
  <si>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</si>
  <si>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</si>
  <si>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</si>
  <si>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</si>
  <si>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</si>
  <si>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</si>
  <si>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</si>
  <si>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</si>
  <si>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</si>
  <si>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</si>
  <si>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</si>
  <si>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</si>
  <si>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</si>
  <si>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</si>
  <si>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</si>
  <si>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</si>
  <si>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</si>
  <si>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</si>
  <si>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</si>
  <si>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</si>
  <si>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</si>
  <si>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</si>
  <si>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</si>
  <si>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</si>
  <si>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</si>
  <si>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</si>
  <si>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</si>
  <si>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</si>
  <si>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</si>
  <si>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</si>
  <si>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</si>
  <si>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</si>
  <si>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</si>
  <si>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</si>
  <si>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</si>
  <si>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</si>
  <si>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</si>
  <si>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</si>
  <si>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</si>
  <si>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</si>
  <si>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</si>
  <si>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</si>
  <si>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</si>
  <si>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</si>
  <si>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</si>
  <si>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</si>
  <si>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</si>
  <si>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</si>
  <si>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</si>
  <si>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</si>
  <si>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</si>
  <si>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</si>
  <si>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</si>
  <si>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</si>
  <si>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</si>
  <si>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</si>
  <si>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</si>
  <si>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</si>
  <si>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</si>
  <si>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</si>
  <si>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</si>
  <si>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</si>
  <si>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</si>
  <si>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</si>
  <si>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</si>
  <si>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</si>
  <si>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</si>
  <si>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</si>
  <si>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</si>
  <si>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</si>
  <si>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</si>
  <si>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</si>
  <si>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</si>
  <si>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</si>
  <si>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</si>
  <si>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</si>
  <si>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</si>
  <si>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</si>
  <si>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</si>
  <si>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</si>
  <si>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</si>
  <si>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</si>
  <si>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</si>
  <si>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</si>
  <si>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</si>
  <si>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</si>
  <si>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</si>
  <si>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</si>
  <si>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</si>
  <si>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</si>
  <si>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</si>
  <si>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</si>
  <si>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</si>
  <si>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</si>
  <si>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</si>
  <si>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</si>
  <si>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</si>
  <si>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</si>
  <si>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</si>
  <si>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</si>
  <si>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</si>
  <si>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</si>
  <si>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</si>
  <si>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</si>
  <si>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</si>
  <si>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</si>
  <si>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</si>
  <si>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</si>
  <si>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</si>
  <si>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</si>
  <si>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</si>
  <si>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</si>
  <si>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</si>
  <si>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</si>
  <si>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</si>
  <si>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</si>
  <si>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</si>
  <si>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</si>
  <si>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</si>
  <si>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</si>
  <si>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</si>
  <si>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</si>
  <si>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</si>
  <si>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</si>
  <si>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</si>
  <si>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</si>
  <si>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</si>
  <si>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</si>
  <si>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</si>
  <si>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</si>
  <si>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</si>
  <si>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</si>
  <si>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</si>
  <si>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</si>
  <si>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</si>
  <si>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</si>
  <si>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</si>
  <si>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</si>
  <si>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</si>
  <si>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</si>
  <si>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</si>
  <si>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</si>
  <si>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</si>
  <si>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</si>
  <si>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</si>
  <si>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</si>
  <si>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</si>
  <si>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</si>
  <si>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</si>
  <si>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</si>
  <si>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</si>
  <si>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</si>
  <si>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</si>
  <si>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</si>
  <si>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</si>
  <si>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</si>
  <si>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</si>
  <si>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</si>
  <si>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</si>
  <si>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</si>
  <si>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</si>
  <si>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</si>
  <si>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</si>
  <si>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</si>
  <si>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</si>
  <si>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</si>
  <si>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</si>
  <si>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</si>
  <si>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</si>
  <si>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</si>
  <si>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</si>
  <si>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</si>
  <si>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</si>
  <si>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</si>
  <si>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</si>
  <si>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</si>
  <si>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</si>
  <si>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</si>
  <si>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</si>
  <si>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</si>
  <si>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</si>
  <si>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</si>
  <si>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</si>
  <si>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</si>
  <si>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</si>
  <si>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</si>
  <si>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</si>
  <si>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</si>
  <si>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</si>
  <si>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</si>
  <si>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</si>
  <si>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</si>
  <si>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</si>
  <si>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</si>
  <si>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</si>
  <si>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</si>
  <si>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</si>
  <si>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</si>
  <si>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</si>
  <si>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</si>
  <si>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</si>
  <si>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</si>
  <si>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</si>
  <si>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</si>
  <si>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</si>
  <si>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</si>
  <si>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</si>
  <si>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</si>
  <si>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</si>
  <si>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</si>
  <si>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</si>
  <si>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</si>
  <si>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</si>
  <si>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</si>
  <si>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</si>
  <si>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</si>
  <si>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</si>
  <si>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</si>
  <si>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</si>
  <si>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</si>
  <si>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</si>
  <si>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</si>
  <si>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</si>
  <si>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</si>
  <si>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</si>
  <si>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</si>
  <si>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</si>
  <si>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</si>
  <si>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</si>
  <si>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</si>
  <si>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</si>
  <si>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</si>
  <si>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</si>
  <si>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</si>
  <si>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</si>
  <si>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</si>
  <si>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</si>
  <si>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</si>
  <si>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</si>
  <si>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</si>
  <si>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</si>
  <si>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</si>
  <si>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</si>
  <si>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</si>
  <si>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</si>
  <si>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</si>
  <si>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</si>
  <si>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</si>
  <si>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</si>
  <si>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</si>
  <si>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</si>
  <si>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</si>
  <si>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</si>
  <si>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</si>
  <si>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</si>
  <si>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</si>
  <si>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</si>
  <si>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</si>
  <si>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</si>
  <si>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</si>
  <si>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</si>
  <si>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</si>
  <si>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</si>
  <si>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</si>
  <si>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</si>
  <si>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</si>
  <si>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</si>
  <si>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</si>
  <si>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</si>
  <si>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</si>
  <si>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</si>
  <si>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</si>
  <si>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</si>
  <si>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</si>
  <si>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</si>
  <si>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</si>
  <si>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</si>
  <si>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</si>
  <si>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</si>
  <si>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</si>
  <si>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</si>
  <si>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</si>
  <si>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</si>
  <si>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</si>
  <si>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</si>
  <si>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</si>
  <si>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</si>
  <si>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</si>
  <si>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</si>
  <si>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</si>
  <si>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</si>
  <si>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</si>
  <si>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</si>
  <si>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</si>
  <si>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</si>
  <si>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</si>
  <si>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</si>
  <si>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</si>
  <si>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</si>
  <si>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</si>
  <si>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</si>
  <si>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</si>
  <si>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</si>
  <si>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</si>
  <si>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</si>
  <si>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</si>
  <si>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</si>
  <si>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</si>
  <si>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</si>
  <si>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</si>
  <si>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</si>
  <si>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</si>
  <si>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</si>
  <si>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</si>
  <si>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</si>
  <si>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</si>
  <si>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</si>
  <si>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</si>
  <si>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</si>
  <si>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</si>
  <si>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</si>
  <si>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</si>
  <si>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</si>
  <si>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</si>
  <si>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</si>
  <si>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</si>
  <si>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</si>
  <si>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</si>
  <si>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</si>
  <si>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</si>
  <si>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</si>
  <si>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</si>
  <si>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</si>
  <si>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</si>
  <si>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</si>
  <si>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</si>
  <si>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</si>
  <si>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</si>
  <si>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</si>
  <si>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</si>
  <si>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</si>
  <si>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</si>
  <si>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</si>
  <si>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</si>
  <si>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</si>
  <si>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</si>
  <si>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</si>
  <si>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</si>
  <si>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</si>
  <si>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</si>
  <si>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</si>
  <si>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</si>
  <si>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</si>
  <si>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</si>
  <si>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</si>
  <si>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</si>
  <si>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</si>
  <si>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</si>
  <si>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</si>
  <si>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</si>
  <si>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</si>
  <si>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</si>
  <si>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</si>
  <si>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</si>
  <si>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</si>
  <si>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</si>
  <si>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</si>
  <si>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</si>
  <si>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</si>
  <si>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</si>
  <si>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</si>
  <si>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</si>
  <si>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</si>
  <si>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</si>
  <si>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</si>
  <si>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</si>
  <si>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</si>
  <si>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</si>
  <si>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</si>
  <si>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</si>
  <si>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</si>
  <si>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</si>
  <si>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</si>
  <si>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</si>
  <si>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</si>
  <si>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</si>
  <si>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</si>
  <si>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</si>
  <si>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</si>
  <si>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</si>
  <si>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</si>
  <si>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</si>
  <si>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</si>
  <si>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</si>
  <si>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</si>
  <si>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</si>
  <si>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</si>
  <si>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</si>
  <si>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</si>
  <si>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</si>
  <si>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</si>
  <si>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</si>
  <si>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</si>
  <si>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</si>
  <si>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</si>
  <si>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</si>
  <si>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</si>
  <si>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</si>
  <si>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</si>
  <si>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</si>
  <si>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</si>
  <si>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</si>
  <si>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</si>
  <si>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</si>
  <si>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</si>
  <si>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</si>
  <si>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</si>
  <si>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</si>
  <si>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</si>
  <si>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</si>
  <si>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</si>
  <si>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</si>
  <si>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</si>
  <si>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</si>
  <si>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</si>
  <si>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</si>
  <si>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</si>
  <si>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</si>
  <si>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</si>
  <si>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</si>
  <si>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</si>
  <si>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</si>
  <si>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</si>
  <si>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</si>
  <si>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</si>
  <si>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</si>
  <si>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</si>
  <si>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</si>
  <si>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</si>
  <si>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</si>
  <si>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</si>
  <si>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</si>
  <si>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</si>
  <si>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</si>
  <si>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</si>
  <si>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</si>
  <si>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</si>
  <si>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</si>
  <si>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</si>
  <si>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</si>
  <si>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</si>
  <si>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</si>
  <si>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</si>
  <si>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</si>
  <si>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</si>
  <si>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</si>
  <si>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</si>
  <si>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</si>
  <si>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</si>
  <si>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</si>
  <si>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</si>
  <si>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</si>
  <si>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</si>
  <si>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</si>
  <si>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</si>
  <si>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</si>
  <si>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</si>
  <si>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</si>
  <si>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</si>
  <si>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</si>
  <si>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</si>
  <si>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</si>
  <si>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</si>
  <si>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</si>
  <si>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</si>
  <si>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</si>
  <si>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</si>
  <si>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</si>
  <si>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</si>
  <si>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</si>
  <si>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</si>
  <si>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</si>
  <si>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</si>
  <si>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</si>
  <si>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</si>
  <si>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</si>
  <si>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</si>
  <si>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</si>
  <si>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</si>
  <si>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</si>
  <si>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</si>
  <si>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</si>
  <si>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</si>
  <si>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</si>
  <si>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</si>
  <si>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</si>
  <si>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</si>
  <si>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</si>
  <si>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</si>
  <si>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</si>
  <si>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</si>
  <si>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</si>
  <si>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</si>
  <si>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</si>
  <si>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</si>
  <si>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</si>
  <si>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</si>
  <si>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</si>
  <si>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</si>
  <si>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</si>
  <si>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</si>
  <si>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</si>
  <si>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</si>
  <si>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</si>
  <si>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</si>
  <si>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</si>
  <si>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</si>
  <si>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</si>
  <si>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</si>
  <si>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</si>
  <si>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</si>
  <si>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</si>
  <si>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</si>
  <si>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</si>
  <si>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</si>
  <si>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</si>
  <si>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</si>
  <si>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</si>
  <si>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</si>
  <si>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</si>
  <si>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</si>
  <si>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</si>
  <si>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</si>
  <si>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</si>
  <si>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</si>
  <si>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</si>
  <si>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</si>
  <si>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</si>
  <si>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</si>
  <si>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</si>
  <si>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</si>
  <si>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</si>
  <si>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</si>
  <si>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</si>
  <si>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</si>
  <si>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</si>
  <si>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</si>
  <si>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</si>
  <si>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</si>
  <si>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</si>
  <si>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</si>
  <si>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</si>
  <si>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</si>
  <si>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</si>
  <si>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</si>
  <si>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</si>
  <si>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</si>
  <si>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</si>
  <si>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</si>
  <si>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</si>
  <si>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</si>
  <si>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</si>
  <si>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</si>
  <si>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</si>
  <si>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</si>
  <si>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</si>
  <si>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</si>
  <si>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</si>
  <si>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</si>
  <si>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</si>
  <si>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</si>
  <si>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</si>
  <si>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</si>
  <si>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</si>
  <si>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</si>
  <si>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</si>
  <si>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</si>
  <si>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</si>
  <si>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</si>
  <si>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</si>
  <si>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</si>
  <si>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</si>
  <si>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</si>
  <si>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</si>
  <si>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</si>
  <si>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</si>
  <si>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</si>
  <si>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</si>
  <si>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</si>
  <si>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</si>
  <si>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</si>
  <si>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</si>
  <si>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</si>
  <si>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</si>
  <si>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</si>
  <si>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</si>
  <si>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</si>
  <si>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</si>
  <si>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</si>
  <si>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</si>
  <si>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</si>
  <si>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</si>
  <si>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</si>
  <si>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</si>
  <si>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</si>
  <si>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</si>
  <si>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</si>
  <si>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</si>
  <si>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</si>
  <si>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</si>
  <si>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</si>
  <si>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</si>
  <si>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</si>
  <si>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</si>
  <si>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</si>
  <si>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</si>
  <si>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</si>
  <si>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</si>
  <si>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</si>
  <si>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</si>
  <si>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</si>
  <si>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</si>
  <si>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</si>
  <si>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</si>
  <si>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</si>
  <si>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</si>
  <si>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</si>
  <si>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</si>
  <si>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</si>
  <si>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</si>
  <si>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</si>
  <si>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</si>
  <si>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</si>
  <si>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</si>
  <si>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</si>
  <si>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</si>
  <si>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</si>
  <si>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</si>
  <si>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</si>
  <si>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</si>
  <si>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</si>
  <si>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</si>
  <si>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</si>
  <si>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</si>
  <si>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</si>
  <si>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</si>
  <si>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</si>
  <si>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</si>
  <si>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</si>
  <si>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</si>
  <si>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</si>
  <si>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</si>
  <si>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</si>
  <si>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</si>
  <si>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</si>
  <si>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</si>
  <si>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</si>
  <si>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</si>
  <si>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</si>
  <si>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</si>
  <si>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</si>
  <si>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</si>
  <si>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</si>
  <si>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</si>
  <si>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</si>
  <si>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</si>
  <si>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</si>
  <si>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</si>
  <si>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</si>
  <si>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</si>
  <si>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</si>
  <si>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</si>
  <si>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</si>
  <si>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</si>
  <si>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</si>
  <si>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</si>
  <si>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</si>
  <si>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</si>
  <si>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</si>
  <si>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</si>
  <si>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</si>
  <si>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</si>
  <si>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</si>
  <si>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</si>
  <si>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</si>
  <si>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</si>
  <si>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</si>
  <si>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</si>
  <si>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</si>
  <si>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</si>
  <si>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</si>
  <si>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</si>
  <si>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</si>
  <si>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</si>
  <si>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</si>
  <si>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</si>
  <si>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</si>
  <si>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</si>
  <si>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</si>
  <si>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</si>
  <si>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</si>
  <si>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</si>
  <si>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</si>
  <si>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</si>
  <si>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</si>
  <si>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</si>
  <si>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</si>
  <si>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</si>
  <si>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</si>
  <si>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</si>
  <si>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</si>
  <si>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</si>
  <si>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</si>
  <si>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</si>
  <si>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</si>
  <si>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</si>
  <si>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</si>
  <si>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</si>
  <si>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</si>
  <si>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</si>
  <si>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</si>
  <si>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</si>
  <si>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</si>
  <si>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</si>
  <si>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</si>
  <si>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</si>
  <si>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</si>
  <si>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</si>
  <si>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</si>
  <si>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</si>
  <si>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</si>
  <si>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</si>
  <si>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</si>
  <si>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</si>
  <si>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</si>
  <si>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</si>
  <si>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</si>
  <si>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</si>
  <si>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</si>
  <si>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</si>
  <si>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</si>
  <si>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</si>
  <si>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</si>
  <si>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</si>
  <si>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</si>
  <si>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</si>
  <si>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</si>
  <si>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</si>
  <si>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</si>
  <si>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</si>
  <si>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</si>
  <si>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</si>
  <si>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</si>
  <si>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</si>
  <si>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</si>
  <si>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</si>
  <si>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</si>
  <si>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</si>
  <si>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</si>
  <si>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</si>
  <si>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</si>
  <si>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</si>
  <si>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</si>
  <si>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</si>
  <si>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</si>
  <si>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</si>
  <si>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</si>
  <si>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</si>
  <si>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</si>
  <si>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</si>
  <si>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</si>
  <si>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</si>
  <si>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</si>
  <si>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</si>
  <si>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</si>
  <si>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</si>
  <si>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</si>
  <si>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</si>
  <si>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</si>
  <si>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</si>
  <si>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</si>
  <si>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</si>
  <si>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</si>
  <si>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</si>
  <si>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</si>
  <si>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</si>
  <si>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</si>
  <si>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</si>
  <si>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</si>
  <si>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</si>
  <si>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</si>
  <si>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</si>
  <si>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</si>
  <si>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</si>
  <si>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</si>
  <si>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</si>
  <si>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</si>
  <si>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</si>
  <si>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</si>
  <si>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</si>
  <si>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</si>
  <si>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</si>
  <si>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</si>
  <si>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</si>
  <si>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</si>
  <si>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</si>
  <si>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</si>
  <si>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</si>
  <si>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</si>
  <si>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</si>
  <si>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</si>
  <si>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</si>
  <si>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</si>
  <si>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</si>
  <si>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</si>
  <si>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</si>
  <si>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</si>
  <si>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</si>
  <si>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</si>
  <si>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</si>
  <si>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</si>
  <si>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</si>
  <si>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</si>
  <si>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</si>
  <si>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</si>
  <si>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</si>
  <si>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</si>
  <si>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</si>
  <si>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</si>
  <si>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</si>
  <si>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</si>
  <si>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</si>
  <si>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</si>
  <si>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</si>
  <si>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</si>
  <si>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</si>
  <si>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</si>
  <si>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</si>
  <si>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</si>
  <si>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</si>
  <si>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</si>
  <si>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</si>
  <si>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</si>
  <si>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</si>
  <si>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</si>
  <si>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</si>
  <si>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</si>
  <si>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</si>
  <si>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</si>
  <si>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</si>
  <si>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</si>
  <si>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</si>
  <si>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</si>
  <si>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</si>
  <si>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</si>
  <si>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</si>
  <si>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</si>
  <si>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</si>
  <si>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</si>
  <si>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</si>
  <si>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</si>
  <si>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</si>
  <si>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</si>
  <si>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</si>
  <si>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</si>
  <si>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</si>
  <si>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</si>
  <si>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</si>
  <si>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</si>
  <si>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</si>
  <si>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</si>
  <si>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</si>
  <si>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</si>
  <si>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</si>
  <si>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</si>
  <si>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</si>
  <si>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</si>
  <si>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</si>
  <si>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</si>
  <si>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</si>
  <si>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</si>
  <si>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</si>
  <si>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</si>
  <si>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</si>
  <si>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</si>
  <si>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</si>
  <si>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</si>
  <si>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</si>
  <si>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</si>
  <si>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</si>
  <si>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</si>
  <si>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</si>
  <si>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</si>
  <si>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</si>
  <si>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</si>
  <si>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</si>
  <si>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</si>
  <si>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</si>
  <si>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</si>
  <si>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</si>
  <si>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</si>
  <si>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</si>
  <si>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</si>
  <si>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</si>
  <si>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</si>
  <si>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</si>
  <si>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</si>
  <si>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</si>
  <si>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</si>
  <si>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</si>
  <si>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</si>
  <si>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</si>
  <si>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</si>
  <si>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</si>
  <si>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</si>
  <si>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</si>
  <si>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</si>
  <si>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</si>
  <si>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</si>
  <si>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</si>
  <si>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</si>
  <si>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</si>
  <si>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</si>
  <si>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</si>
  <si>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</si>
  <si>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</si>
  <si>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</si>
  <si>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</si>
  <si>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</si>
  <si>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</si>
  <si>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</si>
  <si>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</si>
  <si>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</si>
  <si>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</si>
  <si>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</si>
  <si>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</si>
  <si>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</si>
  <si>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</si>
  <si>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</si>
  <si>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</si>
  <si>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</si>
  <si>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</si>
  <si>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</si>
  <si>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</si>
  <si>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</si>
  <si>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</si>
  <si>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</si>
  <si>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</si>
  <si>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</si>
  <si>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</si>
  <si>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</si>
  <si>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</si>
  <si>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</si>
  <si>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</si>
  <si>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</si>
  <si>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</si>
  <si>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</si>
  <si>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</si>
  <si>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</si>
  <si>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</si>
  <si>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</si>
  <si>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</si>
  <si>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</si>
  <si>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</si>
  <si>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</si>
  <si>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</si>
  <si>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</si>
  <si>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</si>
  <si>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</si>
  <si>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</si>
  <si>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</si>
  <si>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</si>
  <si>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</si>
  <si>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</si>
  <si>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</si>
  <si>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</si>
  <si>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</si>
  <si>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</si>
  <si>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</si>
  <si>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</si>
  <si>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</si>
  <si>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</si>
  <si>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</si>
  <si>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</si>
  <si>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</si>
  <si>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</si>
  <si>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</si>
  <si>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</si>
  <si>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</si>
  <si>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</si>
  <si>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</si>
  <si>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</si>
  <si>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</si>
  <si>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</si>
  <si>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</si>
  <si>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</si>
  <si>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</si>
  <si>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</si>
  <si>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</si>
  <si>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</si>
  <si>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وغدیر 521 تا 199.8</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</si>
  <si>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</si>
  <si>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</si>
  <si>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</si>
  <si>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</si>
  <si>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</si>
  <si>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</si>
  <si>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</si>
  <si>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</si>
  <si>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</si>
  <si>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</si>
  <si>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</si>
  <si>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</si>
  <si>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</si>
  <si>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</si>
  <si>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</si>
  <si>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</si>
  <si>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</si>
  <si>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</si>
  <si>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</si>
  <si>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</si>
  <si>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</si>
  <si>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</si>
  <si>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</si>
  <si>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</si>
  <si>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</si>
  <si>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</si>
  <si>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</si>
  <si>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</si>
  <si>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</si>
  <si>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</si>
  <si>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</si>
  <si>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</si>
  <si>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</si>
  <si>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</si>
  <si>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</si>
  <si>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</si>
  <si>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</si>
  <si>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</si>
  <si>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</si>
  <si>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</si>
  <si>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</si>
  <si>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</si>
  <si>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</si>
  <si>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</si>
  <si>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</si>
  <si>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</si>
  <si>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</si>
  <si>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</si>
  <si>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</si>
  <si>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</si>
  <si>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</si>
  <si>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</si>
  <si>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</si>
  <si>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</si>
  <si>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</si>
  <si>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</si>
  <si>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</si>
  <si>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</si>
  <si>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</si>
  <si>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</si>
  <si>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</si>
  <si>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</si>
  <si>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</si>
  <si>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</si>
  <si>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</si>
  <si>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</si>
  <si>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</si>
  <si>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</si>
  <si>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</si>
  <si>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</si>
  <si>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</si>
  <si>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</si>
  <si>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</si>
  <si>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</si>
  <si>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</si>
  <si>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</si>
  <si>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</si>
  <si>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</si>
  <si>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</si>
  <si>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</si>
  <si>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</si>
  <si>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</si>
  <si>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</si>
  <si>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</si>
  <si>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</si>
  <si>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</si>
  <si>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</si>
  <si>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</si>
  <si>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</si>
  <si>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</si>
  <si>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</si>
  <si>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</si>
  <si>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</si>
  <si>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</si>
  <si>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</si>
  <si>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</si>
  <si>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</si>
  <si>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</si>
  <si>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</si>
  <si>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</si>
  <si>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</si>
  <si>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</si>
  <si>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</si>
  <si>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</si>
  <si>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</si>
  <si>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</si>
  <si>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</si>
  <si>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</si>
  <si>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</si>
  <si>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</si>
  <si>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</si>
  <si>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</si>
  <si>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</si>
  <si>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</si>
  <si>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</si>
  <si>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</si>
  <si>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</si>
  <si>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</si>
  <si>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</si>
  <si>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</si>
  <si>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</si>
  <si>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</si>
  <si>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</si>
  <si>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</si>
  <si>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</si>
  <si>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</si>
  <si>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</si>
  <si>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</si>
  <si>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</si>
  <si>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</si>
  <si>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</si>
  <si>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</si>
  <si>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</si>
  <si>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</si>
  <si>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</si>
  <si>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</si>
  <si>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</si>
  <si>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</si>
  <si>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</si>
  <si>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</si>
  <si>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</si>
  <si>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</si>
  <si>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</si>
  <si>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</si>
  <si>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</si>
  <si>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</si>
  <si>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</si>
  <si>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</si>
  <si>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</si>
  <si>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</si>
  <si>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</si>
  <si>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</si>
  <si>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</si>
  <si>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</si>
  <si>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</si>
  <si>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</si>
  <si>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</si>
  <si>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</si>
  <si>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</si>
  <si>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</si>
  <si>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</si>
  <si>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</si>
  <si>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</si>
  <si>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</si>
  <si>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</si>
  <si>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</si>
  <si>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</si>
  <si>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</si>
  <si>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</si>
  <si>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</si>
  <si>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</si>
  <si>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</si>
  <si>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</si>
  <si>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</si>
  <si>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</si>
  <si>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</si>
  <si>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</si>
  <si>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</si>
  <si>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</si>
  <si>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</si>
  <si>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</si>
  <si>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</si>
  <si>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</si>
  <si>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</si>
  <si>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</si>
  <si>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</si>
  <si>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</si>
  <si>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</si>
  <si>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</si>
  <si>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</si>
  <si>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</si>
  <si>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</si>
  <si>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</si>
  <si>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</si>
  <si>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</si>
  <si>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</si>
  <si>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</si>
  <si>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</si>
  <si>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</si>
  <si>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</si>
  <si>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</si>
  <si>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</si>
  <si>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</si>
  <si>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</si>
  <si>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</si>
  <si>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</si>
  <si>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</si>
  <si>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</si>
  <si>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</si>
  <si>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</si>
  <si>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</si>
  <si>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</si>
  <si>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</si>
  <si>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</si>
  <si>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</si>
  <si>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</si>
  <si>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</si>
  <si>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</si>
  <si>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</si>
  <si>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</si>
  <si>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</si>
  <si>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</si>
  <si>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</si>
  <si>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</si>
  <si>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</si>
  <si>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</si>
  <si>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</si>
  <si>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</si>
  <si>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</si>
  <si>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</si>
  <si>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</si>
  <si>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</si>
  <si>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</si>
  <si>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</si>
  <si>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</si>
  <si>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</si>
  <si>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</si>
  <si>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</si>
  <si>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</si>
  <si>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</si>
  <si>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</si>
  <si>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</si>
  <si>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</si>
  <si>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</si>
  <si>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</si>
  <si>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</si>
  <si>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</si>
  <si>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</si>
  <si>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</si>
  <si>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</si>
  <si>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</si>
  <si>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</si>
  <si>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</si>
  <si>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</si>
  <si>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</si>
  <si>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</si>
  <si>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</si>
  <si>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</si>
  <si>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</si>
  <si>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</si>
  <si>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</si>
  <si>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</si>
  <si>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</si>
  <si>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</si>
  <si>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</si>
  <si>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</si>
  <si>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</si>
  <si>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</si>
  <si>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</si>
  <si>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</si>
  <si>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</si>
  <si>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</si>
  <si>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</si>
  <si>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</si>
  <si>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</si>
  <si>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</si>
  <si>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</si>
  <si>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</si>
  <si>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</si>
  <si>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</si>
  <si>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</si>
  <si>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</si>
  <si>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</si>
  <si>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</si>
  <si>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</si>
  <si>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</si>
  <si>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</si>
  <si>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</si>
  <si>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</si>
  <si>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</si>
  <si>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</si>
  <si>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</si>
  <si>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</si>
  <si>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</si>
  <si>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</si>
  <si>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</si>
  <si>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</si>
  <si>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</si>
  <si>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</si>
  <si>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</si>
  <si>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</si>
  <si>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</si>
  <si>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</si>
  <si>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</si>
  <si>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</si>
  <si>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</si>
  <si>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</si>
  <si>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</si>
  <si>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</si>
  <si>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</si>
  <si>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</si>
  <si>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</si>
  <si>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</si>
  <si>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</si>
  <si>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</si>
  <si>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</si>
  <si>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</si>
  <si>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</si>
  <si>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</si>
  <si>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</si>
  <si>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</si>
  <si>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</si>
  <si>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</si>
  <si>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</si>
  <si>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</si>
  <si>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</si>
  <si>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</si>
  <si>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</si>
  <si>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</si>
  <si>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</si>
  <si>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</si>
  <si>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</si>
  <si>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</si>
  <si>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</si>
  <si>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</si>
  <si>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</si>
  <si>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</si>
  <si>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</si>
  <si>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</si>
  <si>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</si>
  <si>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</si>
  <si>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</si>
  <si>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</si>
  <si>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</si>
  <si>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</si>
  <si>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</si>
  <si>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</si>
  <si>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</si>
  <si>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</si>
  <si>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</si>
  <si>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</si>
  <si>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</si>
  <si>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</si>
  <si>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</si>
  <si>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</si>
  <si>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</si>
  <si>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</si>
  <si>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</si>
  <si>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</si>
  <si>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</si>
  <si>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</si>
  <si>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</si>
  <si>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</si>
  <si>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</si>
  <si>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</si>
  <si>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</si>
  <si>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</si>
  <si>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</si>
  <si>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</si>
  <si>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</si>
  <si>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</si>
  <si>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</si>
  <si>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</si>
  <si>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</si>
  <si>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</si>
  <si>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</si>
  <si>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</si>
  <si>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</si>
  <si>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</si>
  <si>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</si>
  <si>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</si>
  <si>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</si>
  <si>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</si>
  <si>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</si>
  <si>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</si>
  <si>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</si>
  <si>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</si>
  <si>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اعتبار مریم (بدهی به کارگزاری 0 میلیون)</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</si>
  <si>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</si>
  <si>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</si>
  <si>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</si>
  <si>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</si>
  <si>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</si>
  <si>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</si>
  <si>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</si>
  <si>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</si>
  <si>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</si>
  <si>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</si>
  <si>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</si>
  <si>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</si>
  <si>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</si>
  <si>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</si>
  <si>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</si>
  <si>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</si>
  <si>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</si>
  <si>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</si>
  <si>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</si>
  <si>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</si>
  <si>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</si>
  <si>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</si>
  <si>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</si>
  <si>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</si>
  <si>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</si>
  <si>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</si>
  <si>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</si>
  <si>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طلب از مهدی 67000 تا وغدیر 23/11/1398</t>
  </si>
  <si>
    <t>23/11/1398</t>
  </si>
  <si>
    <t>26/11/1398</t>
  </si>
  <si>
    <t>دریافت 29686490 تومن حساب مریم</t>
  </si>
  <si>
    <t>زاگرس 776 تا 6923.5</t>
  </si>
  <si>
    <t>وغدیر در حساب مهدی</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</si>
  <si>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</si>
  <si>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</si>
  <si>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</si>
  <si>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</si>
  <si>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</si>
  <si>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</si>
  <si>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</si>
  <si>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</si>
  <si>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</si>
  <si>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</si>
  <si>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</si>
  <si>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</si>
  <si>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</si>
  <si>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</si>
  <si>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</si>
  <si>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</si>
  <si>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</si>
  <si>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</si>
  <si>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</si>
  <si>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</si>
  <si>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</si>
  <si>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</si>
  <si>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</si>
  <si>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</si>
  <si>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</si>
  <si>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</si>
  <si>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</si>
  <si>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</si>
  <si>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</si>
  <si>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</si>
  <si>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</si>
  <si>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</si>
  <si>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</si>
  <si>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</si>
  <si>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</si>
  <si>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</si>
  <si>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</si>
  <si>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</si>
  <si>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</si>
  <si>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</si>
  <si>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</si>
  <si>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</si>
  <si>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</si>
  <si>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</si>
  <si>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</si>
  <si>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</si>
  <si>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</si>
  <si>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</si>
  <si>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</si>
  <si>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</si>
  <si>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</si>
  <si>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</si>
  <si>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</si>
  <si>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</si>
  <si>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</si>
  <si>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</si>
  <si>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</si>
  <si>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</si>
  <si>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</si>
  <si>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</si>
  <si>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</si>
  <si>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</si>
  <si>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</si>
  <si>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</si>
  <si>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</si>
  <si>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</si>
  <si>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</si>
  <si>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</si>
  <si>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</si>
  <si>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</si>
  <si>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</si>
  <si>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</si>
  <si>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</si>
  <si>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</si>
  <si>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</si>
  <si>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</si>
  <si>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</si>
  <si>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</si>
  <si>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</si>
  <si>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</si>
  <si>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</si>
  <si>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</si>
  <si>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</si>
  <si>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</si>
  <si>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اعتبار مهدی (بدهی به کارگزاری 100 میلیون)</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</si>
  <si>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</si>
  <si>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</si>
  <si>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</si>
  <si>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</si>
  <si>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</si>
  <si>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</si>
  <si>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</si>
  <si>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</si>
  <si>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</si>
  <si>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</si>
  <si>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</si>
  <si>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</si>
  <si>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</si>
  <si>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</si>
  <si>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</si>
  <si>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</si>
  <si>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</si>
  <si>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</si>
  <si>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</si>
  <si>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</si>
  <si>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</si>
  <si>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</si>
  <si>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</si>
  <si>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</si>
  <si>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</si>
  <si>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</si>
  <si>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</si>
  <si>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</si>
  <si>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</si>
  <si>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</si>
  <si>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</si>
  <si>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</si>
  <si>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</si>
  <si>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</si>
  <si>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</si>
  <si>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</si>
  <si>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</si>
  <si>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</si>
  <si>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</si>
  <si>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</si>
  <si>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</si>
  <si>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</si>
  <si>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</si>
  <si>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</si>
  <si>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</si>
  <si>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</si>
  <si>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</si>
  <si>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</si>
  <si>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</si>
  <si>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</si>
  <si>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23/1/1399</t>
  </si>
  <si>
    <t>زاگرس 325 تا 8000.7</t>
  </si>
  <si>
    <t>24/1/1399</t>
  </si>
  <si>
    <t>زاگرس 65 تا 8488</t>
  </si>
  <si>
    <t>25/1/1399</t>
  </si>
  <si>
    <t>26/1/1399</t>
  </si>
  <si>
    <t xml:space="preserve">شاراک </t>
  </si>
  <si>
    <t>زاگرس 725 تا 8485.8</t>
  </si>
  <si>
    <t>زاگرس 202 تا 8317.5</t>
  </si>
  <si>
    <t>27/1/1399</t>
  </si>
  <si>
    <t>بدهی به حسین 27/1/99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</si>
  <si>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</si>
  <si>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</si>
  <si>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</si>
  <si>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</si>
  <si>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</si>
  <si>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</si>
  <si>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</si>
  <si>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</si>
  <si>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پارس 4382 تا 8280.2</t>
  </si>
  <si>
    <t>زاگرس 5900 تا 8758.5</t>
  </si>
  <si>
    <t>زاگرس 5613 تا 8740</t>
  </si>
  <si>
    <t>سود ایجاد شده تا 30/1/1399</t>
  </si>
  <si>
    <t>31/1/1399</t>
  </si>
  <si>
    <t>پارس 2000 تا  8536.2</t>
  </si>
  <si>
    <t>زاگرس 8912 تا 9036.6</t>
  </si>
  <si>
    <t>زاگرس 400 تا 8966.4</t>
  </si>
  <si>
    <t>پارس 4841 تا 8537.3</t>
  </si>
  <si>
    <t>1/2/1399</t>
  </si>
  <si>
    <t>زاگرس 2592 تا 8938</t>
  </si>
  <si>
    <t>پارس 8221 تا 8497.4</t>
  </si>
  <si>
    <t>پارس 5305 تا 8558.9</t>
  </si>
  <si>
    <t>2/2/1399</t>
  </si>
  <si>
    <t>زاگرس 860 تا 9000</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</si>
  <si>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</si>
  <si>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</si>
  <si>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</si>
  <si>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</si>
  <si>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</si>
  <si>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</si>
  <si>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</si>
  <si>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</si>
  <si>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</si>
  <si>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</si>
  <si>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</si>
  <si>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زاگرس 1813 تا 9713</t>
  </si>
  <si>
    <t>9/2/1399</t>
  </si>
  <si>
    <t>پارس 964 تا 9544.5</t>
  </si>
  <si>
    <t>مهدی 67000</t>
  </si>
  <si>
    <t>مهدی اعتبار 100</t>
  </si>
  <si>
    <t>مادر کاظم</t>
  </si>
  <si>
    <t>8/2/1399</t>
  </si>
  <si>
    <t>سود وغدیر مریم 65461942 تومن و سود علی 130382924</t>
  </si>
  <si>
    <t>زاگرس 6227 تا 10302</t>
  </si>
  <si>
    <t>زاگرس 164 تا 10699.9</t>
  </si>
  <si>
    <t>زاگرس 1086 تا 10396.2</t>
  </si>
  <si>
    <t>10/2/1399</t>
  </si>
  <si>
    <t>زاگرس 8521 تا 10640</t>
  </si>
  <si>
    <t>13/2/1399</t>
  </si>
  <si>
    <t>16/2/1399</t>
  </si>
  <si>
    <t>زاگرس 60746 تا 12494</t>
  </si>
  <si>
    <t>وغدیر 538578 تا  193.6</t>
  </si>
  <si>
    <t>زاگرس 9672 تا 12840</t>
  </si>
  <si>
    <t>زاگرس 25994 تا 12513</t>
  </si>
  <si>
    <t>سود وغدیر علی</t>
  </si>
  <si>
    <t>ایلیا</t>
  </si>
  <si>
    <t>وغدیر 806138 تا 195.5</t>
  </si>
  <si>
    <t>واریز 125 میلیون تومن حساب علی</t>
  </si>
  <si>
    <t>بدهی علی به صندوق 15/2/1399</t>
  </si>
  <si>
    <t>بدهی مریم به صندوق 15/2/1399</t>
  </si>
  <si>
    <t>واریز 7.2 میلیون حساب علی و 35 میلیون حساب مریم</t>
  </si>
  <si>
    <t>وغدیر 6883 تا 1044.7</t>
  </si>
  <si>
    <t>بدهی به کاظم</t>
  </si>
  <si>
    <t xml:space="preserve">وغدیر 32650 تا </t>
  </si>
  <si>
    <t>16/12/1399</t>
  </si>
  <si>
    <t>مادر کاظم 16/2/1399</t>
  </si>
  <si>
    <t>قسط انصار مریم از ملت علی 16/2/1399</t>
  </si>
  <si>
    <t>مادر کاظم (1277 تا وغدیر) سود وغدیر 1410073</t>
  </si>
  <si>
    <t>17/2/1399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</si>
</sst>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2">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sz val="16"/>
      <color rgb="FFFF0000"/>
      <name val="Calibri"/>
      <family val="2"/>
      <scheme val="minor"/>
    </font>
    <font>
      <b/>
      <sz val="10"/>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0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0" xfId="0" applyFont="1" applyAlignment="1">
      <alignment wrapText="1"/>
    </xf>
    <xf numFmtId="0" fontId="21"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164" fontId="0" fillId="6"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0" fontId="0" fillId="41" borderId="0" xfId="0" applyFill="1"/>
    <xf numFmtId="0" fontId="0" fillId="8" borderId="0" xfId="0" applyFill="1"/>
    <xf numFmtId="0" fontId="0" fillId="42" borderId="0" xfId="0" applyFill="1"/>
    <xf numFmtId="164" fontId="1" fillId="0" borderId="0" xfId="0" applyNumberFormat="1" applyFont="1"/>
    <xf numFmtId="0" fontId="0" fillId="0" borderId="1" xfId="0" applyFill="1" applyBorder="1" applyAlignment="1">
      <alignment horizontal="center" vertic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5"/>
  <sheetViews>
    <sheetView topLeftCell="A87" zoomScale="85" zoomScaleNormal="85" workbookViewId="0">
      <selection activeCell="M113" sqref="M113"/>
    </sheetView>
  </sheetViews>
  <sheetFormatPr defaultRowHeight="15"/>
  <cols>
    <col min="1" max="1" width="10.7109375" bestFit="1" customWidth="1"/>
    <col min="2" max="2" width="12" bestFit="1" customWidth="1"/>
    <col min="3" max="3" width="14.140625" bestFit="1" customWidth="1"/>
    <col min="4" max="4" width="15.85546875" customWidth="1"/>
    <col min="5" max="5" width="9.42578125" bestFit="1" customWidth="1"/>
    <col min="6" max="6" width="13.5703125" bestFit="1" customWidth="1"/>
    <col min="7" max="7" width="27" bestFit="1" customWidth="1"/>
    <col min="8" max="8" width="12" bestFit="1" customWidth="1"/>
    <col min="9" max="9" width="23.140625" bestFit="1" customWidth="1"/>
    <col min="10" max="10" width="25.85546875" bestFit="1" customWidth="1"/>
    <col min="11" max="11" width="12.8554687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4" width="15.140625" bestFit="1" customWidth="1"/>
    <col min="25" max="25" width="16.140625" bestFit="1" customWidth="1"/>
  </cols>
  <sheetData>
    <row r="1" spans="1:10">
      <c r="A1" s="168" t="s">
        <v>180</v>
      </c>
      <c r="B1" s="168" t="s">
        <v>4524</v>
      </c>
      <c r="C1" s="168" t="s">
        <v>947</v>
      </c>
      <c r="D1" s="168" t="s">
        <v>934</v>
      </c>
      <c r="E1" s="168" t="s">
        <v>4524</v>
      </c>
      <c r="F1" s="168" t="s">
        <v>947</v>
      </c>
      <c r="G1" s="168" t="s">
        <v>934</v>
      </c>
      <c r="H1" s="168" t="s">
        <v>4616</v>
      </c>
      <c r="I1" s="168" t="s">
        <v>4617</v>
      </c>
      <c r="J1" s="99" t="s">
        <v>8</v>
      </c>
    </row>
    <row r="2" spans="1:10">
      <c r="A2" s="168" t="s">
        <v>4515</v>
      </c>
      <c r="B2" s="168" t="s">
        <v>4286</v>
      </c>
      <c r="C2" s="113">
        <v>281</v>
      </c>
      <c r="D2" s="168">
        <v>15274</v>
      </c>
      <c r="E2" s="168" t="s">
        <v>4233</v>
      </c>
      <c r="F2" s="113">
        <v>165.5</v>
      </c>
      <c r="G2" s="168">
        <f>C2*D2/F2</f>
        <v>25933.498489425983</v>
      </c>
      <c r="H2" s="168">
        <f t="shared" ref="H2:H33" si="0">C2/F2</f>
        <v>1.6978851963746224</v>
      </c>
      <c r="I2" s="168">
        <f t="shared" ref="I2:I33" si="1">F2/C2</f>
        <v>0.58896797153024916</v>
      </c>
      <c r="J2" s="99"/>
    </row>
    <row r="3" spans="1:10">
      <c r="A3" s="168" t="s">
        <v>4514</v>
      </c>
      <c r="B3" s="168" t="s">
        <v>4286</v>
      </c>
      <c r="C3" s="113">
        <v>289.3</v>
      </c>
      <c r="D3" s="168">
        <v>14073</v>
      </c>
      <c r="E3" s="168" t="s">
        <v>4233</v>
      </c>
      <c r="F3" s="113">
        <v>166.2</v>
      </c>
      <c r="G3" s="168">
        <f>C3*D3/F3</f>
        <v>24496.503610108306</v>
      </c>
      <c r="H3" s="168">
        <f t="shared" si="0"/>
        <v>1.7406738868832734</v>
      </c>
      <c r="I3" s="168">
        <f t="shared" si="1"/>
        <v>0.57449014863463521</v>
      </c>
      <c r="J3" s="99"/>
    </row>
    <row r="4" spans="1:10">
      <c r="A4" s="168" t="s">
        <v>4516</v>
      </c>
      <c r="B4" s="168" t="s">
        <v>4286</v>
      </c>
      <c r="C4" s="113">
        <v>281</v>
      </c>
      <c r="D4" s="168">
        <v>5000</v>
      </c>
      <c r="E4" s="168" t="s">
        <v>4233</v>
      </c>
      <c r="F4" s="113">
        <v>160.19999999999999</v>
      </c>
      <c r="G4" s="168">
        <f>C4*D4/F4</f>
        <v>8770.2871410736589</v>
      </c>
      <c r="H4" s="168">
        <f t="shared" si="0"/>
        <v>1.7540574282147317</v>
      </c>
      <c r="I4" s="168">
        <f t="shared" si="1"/>
        <v>0.57010676156583628</v>
      </c>
      <c r="J4" s="99"/>
    </row>
    <row r="5" spans="1:10">
      <c r="A5" s="168" t="s">
        <v>991</v>
      </c>
      <c r="B5" s="168" t="s">
        <v>4233</v>
      </c>
      <c r="C5" s="113">
        <v>174.7</v>
      </c>
      <c r="D5" s="168">
        <v>13356</v>
      </c>
      <c r="E5" s="168" t="s">
        <v>4286</v>
      </c>
      <c r="F5" s="113">
        <v>284.7</v>
      </c>
      <c r="G5" s="168">
        <f>C5*D5/F5</f>
        <v>8195.6206533192835</v>
      </c>
      <c r="H5" s="168">
        <f t="shared" si="0"/>
        <v>0.61362838075166837</v>
      </c>
      <c r="I5" s="168">
        <f t="shared" si="1"/>
        <v>1.629650829994276</v>
      </c>
      <c r="J5" s="99"/>
    </row>
    <row r="6" spans="1:10">
      <c r="A6" s="168" t="s">
        <v>4606</v>
      </c>
      <c r="B6" s="168" t="s">
        <v>1082</v>
      </c>
      <c r="C6" s="113">
        <v>4183832</v>
      </c>
      <c r="D6" s="168">
        <f t="shared" ref="D6:D19" si="2">F6*G6/C6</f>
        <v>2.132843288162622</v>
      </c>
      <c r="E6" s="191" t="s">
        <v>4379</v>
      </c>
      <c r="F6" s="113">
        <v>3405.9</v>
      </c>
      <c r="G6" s="168">
        <v>2620</v>
      </c>
      <c r="H6" s="191">
        <f t="shared" si="0"/>
        <v>1228.4071757831998</v>
      </c>
      <c r="I6" s="168">
        <f t="shared" si="1"/>
        <v>8.1406232372619174E-4</v>
      </c>
      <c r="J6" s="99"/>
    </row>
    <row r="7" spans="1:10">
      <c r="A7" s="168" t="s">
        <v>4606</v>
      </c>
      <c r="B7" s="168" t="s">
        <v>1082</v>
      </c>
      <c r="C7" s="113">
        <v>4183832</v>
      </c>
      <c r="D7" s="168">
        <f t="shared" si="2"/>
        <v>0.24118578375039915</v>
      </c>
      <c r="E7" s="168" t="s">
        <v>4607</v>
      </c>
      <c r="F7" s="113">
        <v>217.1</v>
      </c>
      <c r="G7" s="168">
        <v>4648</v>
      </c>
      <c r="H7" s="168">
        <f t="shared" si="0"/>
        <v>19271.450944265314</v>
      </c>
      <c r="I7" s="168">
        <f t="shared" si="1"/>
        <v>5.1890228861961954E-5</v>
      </c>
      <c r="J7" s="99"/>
    </row>
    <row r="8" spans="1:10">
      <c r="A8" s="168" t="s">
        <v>4606</v>
      </c>
      <c r="B8" s="168" t="s">
        <v>1082</v>
      </c>
      <c r="C8" s="113">
        <v>4183832</v>
      </c>
      <c r="D8" s="168">
        <f t="shared" si="2"/>
        <v>3.2966189847011065</v>
      </c>
      <c r="E8" s="209" t="s">
        <v>4520</v>
      </c>
      <c r="F8" s="113">
        <v>4500</v>
      </c>
      <c r="G8" s="168">
        <v>3065</v>
      </c>
      <c r="H8" s="209">
        <f t="shared" si="0"/>
        <v>929.74044444444439</v>
      </c>
      <c r="I8" s="168">
        <f t="shared" si="1"/>
        <v>1.0755689999024818E-3</v>
      </c>
      <c r="J8" s="99"/>
    </row>
    <row r="9" spans="1:10">
      <c r="A9" s="168" t="s">
        <v>4611</v>
      </c>
      <c r="B9" s="168" t="s">
        <v>1082</v>
      </c>
      <c r="C9" s="113">
        <v>4186993</v>
      </c>
      <c r="D9" s="168">
        <f t="shared" si="2"/>
        <v>0.95852522323299805</v>
      </c>
      <c r="E9" s="191" t="s">
        <v>4379</v>
      </c>
      <c r="F9" s="113">
        <v>3322.3</v>
      </c>
      <c r="G9" s="168">
        <v>1208</v>
      </c>
      <c r="H9" s="191">
        <f t="shared" si="0"/>
        <v>1260.2693916864821</v>
      </c>
      <c r="I9" s="168">
        <f t="shared" si="1"/>
        <v>7.934811450604288E-4</v>
      </c>
      <c r="J9" s="99"/>
    </row>
    <row r="10" spans="1:10">
      <c r="A10" s="168" t="s">
        <v>4611</v>
      </c>
      <c r="B10" s="168" t="s">
        <v>1082</v>
      </c>
      <c r="C10" s="113">
        <v>4186993</v>
      </c>
      <c r="D10" s="168">
        <f t="shared" si="2"/>
        <v>3.0092622557525175</v>
      </c>
      <c r="E10" s="216" t="s">
        <v>4383</v>
      </c>
      <c r="F10" s="113">
        <v>5249.9</v>
      </c>
      <c r="G10" s="168">
        <v>2400</v>
      </c>
      <c r="H10" s="216">
        <f t="shared" si="0"/>
        <v>797.53766738414072</v>
      </c>
      <c r="I10" s="168">
        <f t="shared" si="1"/>
        <v>1.2538592732302155E-3</v>
      </c>
      <c r="J10" s="99"/>
    </row>
    <row r="11" spans="1:10">
      <c r="A11" s="168" t="s">
        <v>4612</v>
      </c>
      <c r="B11" s="168" t="s">
        <v>1082</v>
      </c>
      <c r="C11" s="113">
        <v>4223698</v>
      </c>
      <c r="D11" s="168">
        <f t="shared" si="2"/>
        <v>11.463347995050782</v>
      </c>
      <c r="E11" s="216" t="s">
        <v>4383</v>
      </c>
      <c r="F11" s="113">
        <v>5330</v>
      </c>
      <c r="G11" s="168">
        <v>9084</v>
      </c>
      <c r="H11" s="216">
        <f t="shared" si="0"/>
        <v>792.43864915572237</v>
      </c>
      <c r="I11" s="168">
        <f t="shared" si="1"/>
        <v>1.2619273442372064E-3</v>
      </c>
      <c r="J11" s="99"/>
    </row>
    <row r="12" spans="1:10">
      <c r="A12" s="168" t="s">
        <v>4612</v>
      </c>
      <c r="B12" s="168" t="s">
        <v>1082</v>
      </c>
      <c r="C12" s="113">
        <v>4223698</v>
      </c>
      <c r="D12" s="168">
        <f t="shared" si="2"/>
        <v>9.4380816762940896</v>
      </c>
      <c r="E12" s="222" t="s">
        <v>4397</v>
      </c>
      <c r="F12" s="113">
        <v>498.9</v>
      </c>
      <c r="G12" s="168">
        <v>79903</v>
      </c>
      <c r="H12" s="222">
        <f t="shared" si="0"/>
        <v>8466.0212467428355</v>
      </c>
      <c r="I12" s="168">
        <f t="shared" si="1"/>
        <v>1.1811924053282217E-4</v>
      </c>
      <c r="J12" s="99"/>
    </row>
    <row r="13" spans="1:10">
      <c r="A13" s="168" t="s">
        <v>4625</v>
      </c>
      <c r="B13" s="168" t="s">
        <v>1082</v>
      </c>
      <c r="C13" s="113">
        <v>4369699</v>
      </c>
      <c r="D13" s="168">
        <f t="shared" si="2"/>
        <v>0.22790475957268452</v>
      </c>
      <c r="E13" s="168" t="s">
        <v>4593</v>
      </c>
      <c r="F13" s="113">
        <v>724.8</v>
      </c>
      <c r="G13" s="168">
        <v>1374</v>
      </c>
      <c r="H13" s="168">
        <f t="shared" si="0"/>
        <v>6028.8341611479036</v>
      </c>
      <c r="I13" s="168">
        <f t="shared" si="1"/>
        <v>1.6586954845173546E-4</v>
      </c>
      <c r="J13" s="99"/>
    </row>
    <row r="14" spans="1:10">
      <c r="A14" s="168" t="s">
        <v>4625</v>
      </c>
      <c r="B14" s="168" t="s">
        <v>1082</v>
      </c>
      <c r="C14" s="113">
        <v>4369699</v>
      </c>
      <c r="D14" s="168">
        <f t="shared" si="2"/>
        <v>8.608136716052984</v>
      </c>
      <c r="E14" s="216" t="s">
        <v>4383</v>
      </c>
      <c r="F14" s="113">
        <v>5393.6</v>
      </c>
      <c r="G14" s="168">
        <v>6974</v>
      </c>
      <c r="H14" s="216">
        <f t="shared" si="0"/>
        <v>810.16371254820524</v>
      </c>
      <c r="I14" s="168">
        <f t="shared" si="1"/>
        <v>1.2343184278825613E-3</v>
      </c>
      <c r="J14" s="99"/>
    </row>
    <row r="15" spans="1:10">
      <c r="A15" s="168" t="s">
        <v>4637</v>
      </c>
      <c r="B15" s="168" t="s">
        <v>1082</v>
      </c>
      <c r="C15" s="113">
        <v>4374000</v>
      </c>
      <c r="D15" s="168">
        <f t="shared" si="2"/>
        <v>2.0343806584362141</v>
      </c>
      <c r="E15" s="216" t="s">
        <v>4383</v>
      </c>
      <c r="F15" s="117">
        <v>5179.5</v>
      </c>
      <c r="G15" s="19">
        <v>1718</v>
      </c>
      <c r="H15" s="216">
        <f t="shared" si="0"/>
        <v>844.48305821025201</v>
      </c>
      <c r="I15" s="168">
        <f t="shared" si="1"/>
        <v>1.184156378600823E-3</v>
      </c>
      <c r="J15" s="99"/>
    </row>
    <row r="16" spans="1:10">
      <c r="A16" s="168" t="s">
        <v>4648</v>
      </c>
      <c r="B16" s="168" t="s">
        <v>1082</v>
      </c>
      <c r="C16" s="113">
        <v>4367053</v>
      </c>
      <c r="D16" s="168">
        <f t="shared" si="2"/>
        <v>2.1370469055447687</v>
      </c>
      <c r="E16" s="191" t="s">
        <v>4379</v>
      </c>
      <c r="F16" s="117">
        <v>3184.1</v>
      </c>
      <c r="G16" s="19">
        <v>2931</v>
      </c>
      <c r="H16" s="191">
        <f t="shared" si="0"/>
        <v>1371.5187965202099</v>
      </c>
      <c r="I16" s="168">
        <f t="shared" si="1"/>
        <v>7.291186985823163E-4</v>
      </c>
      <c r="J16" s="99"/>
    </row>
    <row r="17" spans="1:10">
      <c r="A17" s="211" t="s">
        <v>4648</v>
      </c>
      <c r="B17" s="211" t="s">
        <v>1082</v>
      </c>
      <c r="C17" s="113">
        <v>4367053</v>
      </c>
      <c r="D17" s="211">
        <f t="shared" si="2"/>
        <v>0.12751793944337292</v>
      </c>
      <c r="E17" s="222" t="s">
        <v>4397</v>
      </c>
      <c r="F17" s="117">
        <v>508.1</v>
      </c>
      <c r="G17" s="19">
        <v>1096</v>
      </c>
      <c r="H17" s="222">
        <f t="shared" si="0"/>
        <v>8594.8691202519185</v>
      </c>
      <c r="I17" s="211">
        <f t="shared" si="1"/>
        <v>1.1634848489358842E-4</v>
      </c>
      <c r="J17" s="99"/>
    </row>
    <row r="18" spans="1:10">
      <c r="A18" s="168" t="s">
        <v>4658</v>
      </c>
      <c r="B18" s="168" t="s">
        <v>1082</v>
      </c>
      <c r="C18" s="113">
        <v>4433930</v>
      </c>
      <c r="D18" s="168">
        <f t="shared" si="2"/>
        <v>2.9409688470499082</v>
      </c>
      <c r="E18" s="197" t="s">
        <v>4379</v>
      </c>
      <c r="F18" s="117">
        <v>3180.5</v>
      </c>
      <c r="G18" s="19">
        <v>4100</v>
      </c>
      <c r="H18" s="197">
        <f t="shared" si="0"/>
        <v>1394.0984121993397</v>
      </c>
      <c r="I18" s="168">
        <f t="shared" si="1"/>
        <v>7.1730947489022151E-4</v>
      </c>
      <c r="J18" s="99"/>
    </row>
    <row r="19" spans="1:10">
      <c r="A19" s="168" t="s">
        <v>4658</v>
      </c>
      <c r="B19" s="168" t="s">
        <v>1082</v>
      </c>
      <c r="C19" s="113">
        <v>4433930</v>
      </c>
      <c r="D19" s="168">
        <f t="shared" si="2"/>
        <v>0.13984559972755545</v>
      </c>
      <c r="E19" s="222" t="s">
        <v>4397</v>
      </c>
      <c r="F19" s="117">
        <v>503.3</v>
      </c>
      <c r="G19" s="19">
        <v>1232</v>
      </c>
      <c r="H19" s="222">
        <f t="shared" si="0"/>
        <v>8809.7158752235246</v>
      </c>
      <c r="I19" s="168">
        <f t="shared" si="1"/>
        <v>1.1351103873989892E-4</v>
      </c>
      <c r="J19" s="99"/>
    </row>
    <row r="20" spans="1:10">
      <c r="A20" s="168" t="s">
        <v>4663</v>
      </c>
      <c r="B20" s="168" t="s">
        <v>1082</v>
      </c>
      <c r="C20" s="113">
        <v>4183832</v>
      </c>
      <c r="D20" s="213">
        <v>0.24415416297786335</v>
      </c>
      <c r="E20" s="222" t="s">
        <v>4397</v>
      </c>
      <c r="F20" s="117">
        <v>501.2</v>
      </c>
      <c r="G20" s="19">
        <f>C20*D20/F20</f>
        <v>2038.1085395051875</v>
      </c>
      <c r="H20" s="222">
        <f t="shared" si="0"/>
        <v>8347.6296887470071</v>
      </c>
      <c r="I20" s="168">
        <f t="shared" si="1"/>
        <v>1.1979448505580529E-4</v>
      </c>
      <c r="J20" s="99"/>
    </row>
    <row r="21" spans="1:10">
      <c r="A21" s="213" t="s">
        <v>4665</v>
      </c>
      <c r="B21" s="213" t="s">
        <v>1082</v>
      </c>
      <c r="C21" s="113">
        <v>4183832</v>
      </c>
      <c r="D21" s="213">
        <v>0.23385260211213069</v>
      </c>
      <c r="E21" s="222" t="s">
        <v>4397</v>
      </c>
      <c r="F21" s="117">
        <v>481.7</v>
      </c>
      <c r="G21" s="19">
        <f>C21*D21/F21</f>
        <v>2031.1397135146358</v>
      </c>
      <c r="H21" s="222">
        <f t="shared" si="0"/>
        <v>8685.555324891011</v>
      </c>
      <c r="I21" s="213">
        <f t="shared" si="1"/>
        <v>1.1513368605622787E-4</v>
      </c>
      <c r="J21" s="99"/>
    </row>
    <row r="22" spans="1:10">
      <c r="A22" s="213" t="s">
        <v>4667</v>
      </c>
      <c r="B22" s="213" t="s">
        <v>1082</v>
      </c>
      <c r="C22" s="113">
        <v>4291628</v>
      </c>
      <c r="D22" s="213">
        <f t="shared" ref="D22:D43" si="3">F22*G22/C22</f>
        <v>0.94748414820669458</v>
      </c>
      <c r="E22" s="197" t="s">
        <v>4379</v>
      </c>
      <c r="F22" s="117">
        <v>3115.9</v>
      </c>
      <c r="G22" s="19">
        <v>1305</v>
      </c>
      <c r="H22" s="197">
        <f t="shared" si="0"/>
        <v>1377.3317500561634</v>
      </c>
      <c r="I22" s="213">
        <f t="shared" si="1"/>
        <v>7.2604149287869312E-4</v>
      </c>
      <c r="J22" s="99"/>
    </row>
    <row r="23" spans="1:10">
      <c r="A23" s="168" t="s">
        <v>4667</v>
      </c>
      <c r="B23" s="168" t="s">
        <v>1082</v>
      </c>
      <c r="C23" s="113">
        <v>4291628</v>
      </c>
      <c r="D23" s="213">
        <f t="shared" si="3"/>
        <v>4.7641314671262279E-2</v>
      </c>
      <c r="E23" s="19" t="s">
        <v>4567</v>
      </c>
      <c r="F23" s="117">
        <v>178.1</v>
      </c>
      <c r="G23" s="19">
        <v>1148</v>
      </c>
      <c r="H23" s="19">
        <f t="shared" si="0"/>
        <v>24096.732172936554</v>
      </c>
      <c r="I23" s="168">
        <f t="shared" si="1"/>
        <v>4.1499403023747632E-5</v>
      </c>
      <c r="J23" s="99"/>
    </row>
    <row r="24" spans="1:10">
      <c r="A24" s="213" t="s">
        <v>4677</v>
      </c>
      <c r="B24" s="213" t="s">
        <v>1082</v>
      </c>
      <c r="C24" s="113">
        <v>4369730</v>
      </c>
      <c r="D24" s="213">
        <f t="shared" si="3"/>
        <v>1.9131203758584627</v>
      </c>
      <c r="E24" s="197" t="s">
        <v>4379</v>
      </c>
      <c r="F24" s="117">
        <v>3120.5</v>
      </c>
      <c r="G24" s="19">
        <v>2679</v>
      </c>
      <c r="H24" s="197">
        <f t="shared" si="0"/>
        <v>1400.3300753084441</v>
      </c>
      <c r="I24" s="213">
        <f t="shared" si="1"/>
        <v>7.1411734821144558E-4</v>
      </c>
      <c r="J24" s="99"/>
    </row>
    <row r="25" spans="1:10">
      <c r="A25" s="213" t="s">
        <v>4678</v>
      </c>
      <c r="B25" s="213" t="s">
        <v>1082</v>
      </c>
      <c r="C25" s="113">
        <v>4398820</v>
      </c>
      <c r="D25" s="213">
        <f t="shared" si="3"/>
        <v>3.9898935623644527</v>
      </c>
      <c r="E25" s="197" t="s">
        <v>4379</v>
      </c>
      <c r="F25" s="117">
        <v>3112.4</v>
      </c>
      <c r="G25" s="19">
        <v>5639</v>
      </c>
      <c r="H25" s="197">
        <f t="shared" si="0"/>
        <v>1413.3209099087521</v>
      </c>
      <c r="I25" s="213">
        <f t="shared" si="1"/>
        <v>7.0755338931804436E-4</v>
      </c>
      <c r="J25" s="99"/>
    </row>
    <row r="26" spans="1:10">
      <c r="A26" s="213" t="s">
        <v>4687</v>
      </c>
      <c r="B26" s="213" t="s">
        <v>1082</v>
      </c>
      <c r="C26" s="113">
        <v>4445103</v>
      </c>
      <c r="D26" s="213">
        <f t="shared" si="3"/>
        <v>1.8767484128039327</v>
      </c>
      <c r="E26" s="222" t="s">
        <v>4397</v>
      </c>
      <c r="F26" s="117">
        <v>489</v>
      </c>
      <c r="G26" s="19">
        <v>17060</v>
      </c>
      <c r="H26" s="222">
        <f t="shared" si="0"/>
        <v>9090.1901840490791</v>
      </c>
      <c r="I26" s="213">
        <f t="shared" si="1"/>
        <v>1.1000869946095737E-4</v>
      </c>
      <c r="J26" s="99"/>
    </row>
    <row r="27" spans="1:10">
      <c r="A27" s="213" t="s">
        <v>3680</v>
      </c>
      <c r="B27" s="213" t="s">
        <v>1082</v>
      </c>
      <c r="C27" s="113">
        <v>4490623</v>
      </c>
      <c r="D27" s="213">
        <f t="shared" si="3"/>
        <v>3.9795864404560346</v>
      </c>
      <c r="E27" s="222" t="s">
        <v>4397</v>
      </c>
      <c r="F27" s="213">
        <v>486.4</v>
      </c>
      <c r="G27" s="213">
        <v>36741</v>
      </c>
      <c r="H27" s="222">
        <f t="shared" si="0"/>
        <v>9232.3663651315801</v>
      </c>
      <c r="I27" s="213">
        <f t="shared" si="1"/>
        <v>1.0831459242960275E-4</v>
      </c>
      <c r="J27" s="99"/>
    </row>
    <row r="28" spans="1:10">
      <c r="A28" s="213" t="s">
        <v>4699</v>
      </c>
      <c r="B28" s="213" t="s">
        <v>1082</v>
      </c>
      <c r="C28" s="113">
        <v>4590878</v>
      </c>
      <c r="D28" s="213">
        <f t="shared" si="3"/>
        <v>2.0741130563696095</v>
      </c>
      <c r="E28" s="208" t="s">
        <v>4397</v>
      </c>
      <c r="F28" s="213">
        <v>476.1</v>
      </c>
      <c r="G28" s="213">
        <v>20000</v>
      </c>
      <c r="H28" s="208">
        <f t="shared" si="0"/>
        <v>9642.6759084225996</v>
      </c>
      <c r="I28" s="213">
        <f t="shared" si="1"/>
        <v>1.0370565281848048E-4</v>
      </c>
      <c r="J28" s="99"/>
    </row>
    <row r="29" spans="1:10">
      <c r="A29" s="213" t="s">
        <v>4699</v>
      </c>
      <c r="B29" s="213" t="s">
        <v>1082</v>
      </c>
      <c r="C29" s="113">
        <v>4590878</v>
      </c>
      <c r="D29" s="213">
        <f t="shared" si="3"/>
        <v>2.3602445980921298</v>
      </c>
      <c r="E29" s="197" t="s">
        <v>4379</v>
      </c>
      <c r="F29" s="213">
        <v>3095</v>
      </c>
      <c r="G29" s="213">
        <v>3501</v>
      </c>
      <c r="H29" s="197">
        <f t="shared" si="0"/>
        <v>1483.3208400646204</v>
      </c>
      <c r="I29" s="213">
        <f t="shared" si="1"/>
        <v>6.7416298146019129E-4</v>
      </c>
      <c r="J29" s="99"/>
    </row>
    <row r="30" spans="1:10">
      <c r="A30" s="213" t="s">
        <v>4699</v>
      </c>
      <c r="B30" s="213" t="s">
        <v>1082</v>
      </c>
      <c r="C30" s="113">
        <v>4590878</v>
      </c>
      <c r="D30" s="213">
        <f t="shared" si="3"/>
        <v>0.33907971416360883</v>
      </c>
      <c r="E30" s="225" t="s">
        <v>4233</v>
      </c>
      <c r="F30" s="117">
        <v>168.8</v>
      </c>
      <c r="G30" s="19">
        <v>9222</v>
      </c>
      <c r="H30" s="225">
        <f t="shared" si="0"/>
        <v>27197.14454976303</v>
      </c>
      <c r="I30" s="213">
        <f t="shared" si="1"/>
        <v>3.6768565838604295E-5</v>
      </c>
      <c r="J30" s="99"/>
    </row>
    <row r="31" spans="1:10">
      <c r="A31" s="213" t="s">
        <v>4699</v>
      </c>
      <c r="B31" s="213" t="s">
        <v>1082</v>
      </c>
      <c r="C31" s="113">
        <v>4590878</v>
      </c>
      <c r="D31" s="213">
        <f t="shared" si="3"/>
        <v>1.0887767002303264</v>
      </c>
      <c r="E31" s="13" t="s">
        <v>4521</v>
      </c>
      <c r="F31" s="117">
        <v>3859.8</v>
      </c>
      <c r="G31" s="19">
        <v>1295</v>
      </c>
      <c r="H31" s="13">
        <f t="shared" si="0"/>
        <v>1189.4082594953106</v>
      </c>
      <c r="I31" s="213">
        <f t="shared" si="1"/>
        <v>8.4075420867206669E-4</v>
      </c>
      <c r="J31" s="99"/>
    </row>
    <row r="32" spans="1:10">
      <c r="A32" s="213" t="s">
        <v>4702</v>
      </c>
      <c r="B32" s="213" t="s">
        <v>1082</v>
      </c>
      <c r="C32" s="113">
        <v>4445103</v>
      </c>
      <c r="D32" s="213">
        <f t="shared" si="3"/>
        <v>1.0998433557107676</v>
      </c>
      <c r="E32" s="191" t="s">
        <v>4379</v>
      </c>
      <c r="F32" s="117">
        <v>3069</v>
      </c>
      <c r="G32" s="213">
        <v>1593</v>
      </c>
      <c r="H32" s="191">
        <f t="shared" si="0"/>
        <v>1448.3880742913002</v>
      </c>
      <c r="I32" s="213">
        <f t="shared" si="1"/>
        <v>6.9042269661692874E-4</v>
      </c>
      <c r="J32" s="99" t="s">
        <v>4703</v>
      </c>
    </row>
    <row r="33" spans="1:10">
      <c r="A33" s="213" t="s">
        <v>4702</v>
      </c>
      <c r="B33" s="213" t="s">
        <v>1082</v>
      </c>
      <c r="C33" s="113">
        <v>4724483</v>
      </c>
      <c r="D33" s="213">
        <f t="shared" si="3"/>
        <v>2.1503257816781223</v>
      </c>
      <c r="E33" s="192" t="s">
        <v>4379</v>
      </c>
      <c r="F33" s="117">
        <v>3099.2</v>
      </c>
      <c r="G33" s="213">
        <v>3278</v>
      </c>
      <c r="H33" s="192">
        <f t="shared" si="0"/>
        <v>1524.4201729478575</v>
      </c>
      <c r="I33" s="213">
        <f t="shared" si="1"/>
        <v>6.5598712070717572E-4</v>
      </c>
      <c r="J33" s="99"/>
    </row>
    <row r="34" spans="1:10">
      <c r="A34" s="213" t="s">
        <v>4702</v>
      </c>
      <c r="B34" s="213" t="s">
        <v>1082</v>
      </c>
      <c r="C34" s="113">
        <v>4724483</v>
      </c>
      <c r="D34" s="213">
        <f t="shared" si="3"/>
        <v>2.8236157480088302</v>
      </c>
      <c r="E34" s="5" t="s">
        <v>4521</v>
      </c>
      <c r="F34" s="117">
        <v>3853.3</v>
      </c>
      <c r="G34" s="213">
        <v>3462</v>
      </c>
      <c r="H34" s="5">
        <f t="shared" ref="H34:H59" si="4">C34/F34</f>
        <v>1226.0875094075207</v>
      </c>
      <c r="I34" s="213">
        <f t="shared" ref="I34:I59" si="5">F34/C34</f>
        <v>8.1560246909556037E-4</v>
      </c>
      <c r="J34" s="99"/>
    </row>
    <row r="35" spans="1:10">
      <c r="A35" s="213" t="s">
        <v>4716</v>
      </c>
      <c r="B35" s="213" t="s">
        <v>1082</v>
      </c>
      <c r="C35" s="113">
        <v>4852712</v>
      </c>
      <c r="D35" s="213">
        <f t="shared" si="3"/>
        <v>0.69267922761540357</v>
      </c>
      <c r="E35" s="197" t="s">
        <v>4379</v>
      </c>
      <c r="F35" s="117">
        <v>3324.8</v>
      </c>
      <c r="G35" s="213">
        <v>1011</v>
      </c>
      <c r="H35" s="197">
        <f t="shared" si="4"/>
        <v>1459.5500481231952</v>
      </c>
      <c r="I35" s="213">
        <f t="shared" si="5"/>
        <v>6.8514265837329731E-4</v>
      </c>
      <c r="J35" s="99"/>
    </row>
    <row r="36" spans="1:10">
      <c r="A36" s="213" t="s">
        <v>4716</v>
      </c>
      <c r="B36" s="213" t="s">
        <v>1082</v>
      </c>
      <c r="C36" s="113">
        <v>4852712</v>
      </c>
      <c r="D36" s="213">
        <f t="shared" si="3"/>
        <v>13.047731721973198</v>
      </c>
      <c r="E36" s="13" t="s">
        <v>4521</v>
      </c>
      <c r="F36" s="117">
        <v>4176.3</v>
      </c>
      <c r="G36" s="213">
        <v>15161</v>
      </c>
      <c r="H36" s="13">
        <f t="shared" si="4"/>
        <v>1161.9644182649713</v>
      </c>
      <c r="I36" s="213">
        <f t="shared" si="5"/>
        <v>8.6061155081941813E-4</v>
      </c>
      <c r="J36" s="99"/>
    </row>
    <row r="37" spans="1:10">
      <c r="A37" s="213" t="s">
        <v>4716</v>
      </c>
      <c r="B37" s="213" t="s">
        <v>1082</v>
      </c>
      <c r="C37" s="113">
        <v>4852712</v>
      </c>
      <c r="D37" s="213">
        <f t="shared" si="3"/>
        <v>3.1790291490613911</v>
      </c>
      <c r="E37" s="222" t="s">
        <v>4397</v>
      </c>
      <c r="F37" s="117">
        <v>525.1</v>
      </c>
      <c r="G37" s="213">
        <v>29379</v>
      </c>
      <c r="H37" s="222">
        <f t="shared" si="4"/>
        <v>9241.5006665397068</v>
      </c>
      <c r="I37" s="213">
        <f t="shared" si="5"/>
        <v>1.0820753426125433E-4</v>
      </c>
      <c r="J37" s="99"/>
    </row>
    <row r="38" spans="1:10">
      <c r="A38" s="213" t="s">
        <v>4723</v>
      </c>
      <c r="B38" s="213" t="s">
        <v>1082</v>
      </c>
      <c r="C38" s="113">
        <v>4977171</v>
      </c>
      <c r="D38" s="213">
        <f t="shared" si="3"/>
        <v>6.1346965173589574</v>
      </c>
      <c r="E38" s="222" t="s">
        <v>4397</v>
      </c>
      <c r="F38" s="117">
        <v>529.79999999999995</v>
      </c>
      <c r="G38" s="213">
        <v>57632</v>
      </c>
      <c r="H38" s="222">
        <f t="shared" si="4"/>
        <v>9394.4337485843716</v>
      </c>
      <c r="I38" s="213">
        <f t="shared" si="5"/>
        <v>1.0644601119792749E-4</v>
      </c>
      <c r="J38" s="99"/>
    </row>
    <row r="39" spans="1:10">
      <c r="A39" s="213" t="s">
        <v>4723</v>
      </c>
      <c r="B39" s="213" t="s">
        <v>1082</v>
      </c>
      <c r="C39" s="113">
        <v>4977171</v>
      </c>
      <c r="D39" s="213">
        <f t="shared" si="3"/>
        <v>1.084129920390519</v>
      </c>
      <c r="E39" s="227" t="s">
        <v>4383</v>
      </c>
      <c r="F39" s="117">
        <v>5395.9</v>
      </c>
      <c r="G39" s="213">
        <v>1000</v>
      </c>
      <c r="H39" s="227">
        <f t="shared" si="4"/>
        <v>922.39867306658766</v>
      </c>
      <c r="I39" s="213">
        <f t="shared" si="5"/>
        <v>1.0841299203905189E-3</v>
      </c>
      <c r="J39" s="99"/>
    </row>
    <row r="40" spans="1:10">
      <c r="A40" s="213" t="s">
        <v>4723</v>
      </c>
      <c r="B40" s="213" t="s">
        <v>1082</v>
      </c>
      <c r="C40" s="113">
        <v>4977171</v>
      </c>
      <c r="D40" s="213">
        <f t="shared" si="3"/>
        <v>7.7072195831728516</v>
      </c>
      <c r="E40" s="222" t="s">
        <v>4379</v>
      </c>
      <c r="F40" s="117">
        <v>3355.8</v>
      </c>
      <c r="G40" s="213">
        <v>11431</v>
      </c>
      <c r="H40" s="222">
        <f t="shared" si="4"/>
        <v>1483.1548364026462</v>
      </c>
      <c r="I40" s="213">
        <f t="shared" si="5"/>
        <v>6.7423843785957929E-4</v>
      </c>
      <c r="J40" s="99"/>
    </row>
    <row r="41" spans="1:10">
      <c r="A41" s="230" t="s">
        <v>4737</v>
      </c>
      <c r="B41" s="230" t="s">
        <v>4397</v>
      </c>
      <c r="C41" s="228">
        <v>530.29999999999995</v>
      </c>
      <c r="D41" s="230">
        <f t="shared" si="3"/>
        <v>24481.99132566472</v>
      </c>
      <c r="E41" s="230" t="s">
        <v>4383</v>
      </c>
      <c r="F41" s="230">
        <v>5235</v>
      </c>
      <c r="G41" s="230">
        <v>2480</v>
      </c>
      <c r="H41" s="230">
        <f t="shared" si="4"/>
        <v>0.10129894937917859</v>
      </c>
      <c r="I41" s="230">
        <f t="shared" si="5"/>
        <v>9.8717706958325486</v>
      </c>
      <c r="J41" s="161"/>
    </row>
    <row r="42" spans="1:10">
      <c r="A42" s="213" t="s">
        <v>4750</v>
      </c>
      <c r="B42" s="213" t="s">
        <v>4233</v>
      </c>
      <c r="C42" s="113">
        <v>185.7</v>
      </c>
      <c r="D42" s="213">
        <f t="shared" si="3"/>
        <v>9238.0484652665582</v>
      </c>
      <c r="E42" s="213" t="s">
        <v>4286</v>
      </c>
      <c r="F42" s="117">
        <v>303.2</v>
      </c>
      <c r="G42" s="213">
        <v>5658</v>
      </c>
      <c r="H42" s="213">
        <f t="shared" si="4"/>
        <v>0.61246701846965701</v>
      </c>
      <c r="I42" s="213">
        <f t="shared" si="5"/>
        <v>1.6327409800753905</v>
      </c>
      <c r="J42" s="99"/>
    </row>
    <row r="43" spans="1:10">
      <c r="A43" s="231" t="s">
        <v>4755</v>
      </c>
      <c r="B43" s="231" t="s">
        <v>4397</v>
      </c>
      <c r="C43" s="232">
        <v>538.79999999999995</v>
      </c>
      <c r="D43" s="231">
        <f t="shared" si="3"/>
        <v>4989.5322939866373</v>
      </c>
      <c r="E43" s="231" t="s">
        <v>4383</v>
      </c>
      <c r="F43" s="232">
        <v>5160</v>
      </c>
      <c r="G43" s="231">
        <v>521</v>
      </c>
      <c r="H43" s="231">
        <f t="shared" si="4"/>
        <v>0.10441860465116279</v>
      </c>
      <c r="I43" s="231">
        <f t="shared" si="5"/>
        <v>9.5768374164810695</v>
      </c>
      <c r="J43" s="233"/>
    </row>
    <row r="44" spans="1:10">
      <c r="A44" s="213" t="s">
        <v>4763</v>
      </c>
      <c r="B44" s="213" t="s">
        <v>4286</v>
      </c>
      <c r="C44" s="113">
        <v>299.10000000000002</v>
      </c>
      <c r="D44" s="213">
        <v>5658</v>
      </c>
      <c r="E44" s="213" t="s">
        <v>4233</v>
      </c>
      <c r="F44" s="213">
        <v>182.5</v>
      </c>
      <c r="G44" s="213">
        <v>9173</v>
      </c>
      <c r="H44" s="213">
        <f t="shared" si="4"/>
        <v>1.6389041095890413</v>
      </c>
      <c r="I44" s="213">
        <f t="shared" si="5"/>
        <v>0.61016382480775655</v>
      </c>
      <c r="J44" s="99" t="s">
        <v>4764</v>
      </c>
    </row>
    <row r="45" spans="1:10">
      <c r="A45" s="213" t="s">
        <v>4763</v>
      </c>
      <c r="B45" s="213" t="s">
        <v>4383</v>
      </c>
      <c r="C45" s="113">
        <v>5149.1000000000004</v>
      </c>
      <c r="D45" s="213">
        <v>290</v>
      </c>
      <c r="E45" s="213" t="s">
        <v>4521</v>
      </c>
      <c r="F45" s="213">
        <v>3933</v>
      </c>
      <c r="G45" s="213">
        <v>375</v>
      </c>
      <c r="H45" s="213">
        <f t="shared" si="4"/>
        <v>1.3092041698449022</v>
      </c>
      <c r="I45" s="213">
        <f t="shared" si="5"/>
        <v>0.76382280398516245</v>
      </c>
      <c r="J45" s="99" t="s">
        <v>25</v>
      </c>
    </row>
    <row r="46" spans="1:10">
      <c r="A46" s="213" t="s">
        <v>4787</v>
      </c>
      <c r="B46" s="213" t="s">
        <v>4383</v>
      </c>
      <c r="C46" s="113">
        <v>5399.3</v>
      </c>
      <c r="D46" s="213">
        <v>2000</v>
      </c>
      <c r="E46" s="213" t="s">
        <v>4521</v>
      </c>
      <c r="F46" s="213">
        <v>4049.8</v>
      </c>
      <c r="G46" s="213">
        <v>2638</v>
      </c>
      <c r="H46" s="213">
        <f t="shared" si="4"/>
        <v>1.3332263321645512</v>
      </c>
      <c r="I46" s="213">
        <f t="shared" si="5"/>
        <v>0.75006019298797988</v>
      </c>
      <c r="J46" s="99"/>
    </row>
    <row r="47" spans="1:10">
      <c r="A47" s="213" t="s">
        <v>4930</v>
      </c>
      <c r="B47" s="213" t="s">
        <v>4286</v>
      </c>
      <c r="C47" s="113">
        <v>362.9</v>
      </c>
      <c r="D47" s="213">
        <v>1822</v>
      </c>
      <c r="E47" s="213" t="s">
        <v>4233</v>
      </c>
      <c r="F47" s="213">
        <v>191.5</v>
      </c>
      <c r="G47" s="213">
        <v>3409</v>
      </c>
      <c r="H47" s="213">
        <f t="shared" si="4"/>
        <v>1.8950391644908615</v>
      </c>
      <c r="I47" s="213">
        <f t="shared" si="5"/>
        <v>0.5276935794984845</v>
      </c>
      <c r="J47" s="99"/>
    </row>
    <row r="48" spans="1:10">
      <c r="A48" s="213" t="s">
        <v>4930</v>
      </c>
      <c r="B48" s="213" t="s">
        <v>4286</v>
      </c>
      <c r="C48" s="113">
        <v>361.4</v>
      </c>
      <c r="D48" s="213">
        <v>5174</v>
      </c>
      <c r="E48" s="213" t="s">
        <v>4379</v>
      </c>
      <c r="F48" s="213">
        <v>3698</v>
      </c>
      <c r="G48" s="213">
        <v>498</v>
      </c>
      <c r="H48" s="213">
        <f t="shared" si="4"/>
        <v>9.7728501892915084E-2</v>
      </c>
      <c r="I48" s="213">
        <f t="shared" si="5"/>
        <v>10.232429441062536</v>
      </c>
      <c r="J48" s="99"/>
    </row>
    <row r="49" spans="1:19">
      <c r="A49" s="213" t="s">
        <v>4930</v>
      </c>
      <c r="B49" s="213" t="s">
        <v>4521</v>
      </c>
      <c r="C49" s="113">
        <v>4909.6000000000004</v>
      </c>
      <c r="D49" s="213">
        <v>2000</v>
      </c>
      <c r="E49" s="213" t="s">
        <v>4379</v>
      </c>
      <c r="F49" s="213">
        <v>3715.1</v>
      </c>
      <c r="G49" s="213">
        <v>2603</v>
      </c>
      <c r="H49" s="213">
        <f t="shared" si="4"/>
        <v>1.321525665527173</v>
      </c>
      <c r="I49" s="213">
        <f t="shared" si="5"/>
        <v>0.75670115691706041</v>
      </c>
      <c r="J49" s="99"/>
    </row>
    <row r="50" spans="1:19">
      <c r="A50" s="213" t="s">
        <v>4930</v>
      </c>
      <c r="B50" s="213" t="s">
        <v>4521</v>
      </c>
      <c r="C50" s="113">
        <v>4949.8</v>
      </c>
      <c r="D50" s="213">
        <v>64</v>
      </c>
      <c r="E50" s="213" t="s">
        <v>4379</v>
      </c>
      <c r="F50" s="213">
        <v>3720.1</v>
      </c>
      <c r="G50" s="213">
        <v>84</v>
      </c>
      <c r="H50" s="213">
        <f t="shared" si="4"/>
        <v>1.3305556302249941</v>
      </c>
      <c r="I50" s="213">
        <f t="shared" si="5"/>
        <v>0.75156571982706366</v>
      </c>
      <c r="J50" s="99"/>
    </row>
    <row r="51" spans="1:19">
      <c r="A51" s="213" t="s">
        <v>4930</v>
      </c>
      <c r="B51" s="213" t="s">
        <v>4521</v>
      </c>
      <c r="C51" s="113">
        <v>4949</v>
      </c>
      <c r="D51" s="213">
        <v>1000</v>
      </c>
      <c r="E51" s="213" t="s">
        <v>4233</v>
      </c>
      <c r="F51" s="213">
        <v>192</v>
      </c>
      <c r="G51" s="213" t="s">
        <v>4934</v>
      </c>
      <c r="H51" s="213">
        <f t="shared" si="4"/>
        <v>25.776041666666668</v>
      </c>
      <c r="I51" s="213">
        <f t="shared" si="5"/>
        <v>3.8795716306324508E-2</v>
      </c>
      <c r="J51" s="99"/>
    </row>
    <row r="52" spans="1:19">
      <c r="A52" s="213" t="s">
        <v>4937</v>
      </c>
      <c r="B52" s="213" t="s">
        <v>4521</v>
      </c>
      <c r="C52" s="113">
        <v>4957.7</v>
      </c>
      <c r="D52" s="213" t="s">
        <v>4934</v>
      </c>
      <c r="E52" s="213" t="s">
        <v>4379</v>
      </c>
      <c r="F52" s="213">
        <v>3589.3</v>
      </c>
      <c r="G52" s="213" t="s">
        <v>4934</v>
      </c>
      <c r="H52" s="213">
        <f t="shared" si="4"/>
        <v>1.3812442537542138</v>
      </c>
      <c r="I52" s="213">
        <f t="shared" si="5"/>
        <v>0.72398491235855345</v>
      </c>
      <c r="J52" s="99"/>
    </row>
    <row r="53" spans="1:19">
      <c r="A53" s="213" t="s">
        <v>4937</v>
      </c>
      <c r="B53" s="213" t="s">
        <v>4521</v>
      </c>
      <c r="C53" s="113">
        <v>4958</v>
      </c>
      <c r="D53" s="213" t="s">
        <v>4934</v>
      </c>
      <c r="E53" s="213" t="s">
        <v>4383</v>
      </c>
      <c r="F53" s="213">
        <v>4730.8999999999996</v>
      </c>
      <c r="G53" s="213" t="s">
        <v>4934</v>
      </c>
      <c r="H53" s="213">
        <f t="shared" si="4"/>
        <v>1.0480035511213512</v>
      </c>
      <c r="I53" s="213">
        <f t="shared" si="5"/>
        <v>0.95419524001613543</v>
      </c>
      <c r="J53" s="99"/>
    </row>
    <row r="54" spans="1:19">
      <c r="A54" s="213" t="s">
        <v>4937</v>
      </c>
      <c r="B54" s="213" t="s">
        <v>4521</v>
      </c>
      <c r="C54" s="113">
        <v>4958</v>
      </c>
      <c r="D54" s="213" t="s">
        <v>4934</v>
      </c>
      <c r="E54" s="213" t="s">
        <v>4397</v>
      </c>
      <c r="F54" s="213">
        <v>671.9</v>
      </c>
      <c r="G54" s="213" t="s">
        <v>4934</v>
      </c>
      <c r="H54" s="213">
        <f t="shared" si="4"/>
        <v>7.379074267004019</v>
      </c>
      <c r="I54" s="213">
        <f t="shared" si="5"/>
        <v>0.13551835417507058</v>
      </c>
      <c r="J54" s="99"/>
      <c r="M54" t="s">
        <v>25</v>
      </c>
    </row>
    <row r="55" spans="1:19">
      <c r="A55" s="213" t="s">
        <v>4937</v>
      </c>
      <c r="B55" s="213" t="s">
        <v>4521</v>
      </c>
      <c r="C55" s="113">
        <v>4958</v>
      </c>
      <c r="D55" s="213" t="s">
        <v>4934</v>
      </c>
      <c r="E55" s="213" t="s">
        <v>4233</v>
      </c>
      <c r="F55" s="213">
        <v>194.4</v>
      </c>
      <c r="G55" s="213" t="s">
        <v>4934</v>
      </c>
      <c r="H55" s="213">
        <f t="shared" si="4"/>
        <v>25.504115226337447</v>
      </c>
      <c r="I55" s="213">
        <f t="shared" si="5"/>
        <v>3.9209358612343689E-2</v>
      </c>
      <c r="J55" s="99"/>
    </row>
    <row r="56" spans="1:19">
      <c r="A56" s="213" t="s">
        <v>5006</v>
      </c>
      <c r="B56" s="213" t="s">
        <v>4383</v>
      </c>
      <c r="C56" s="113">
        <v>5077.8</v>
      </c>
      <c r="D56" s="213">
        <v>5000</v>
      </c>
      <c r="E56" s="213" t="s">
        <v>4233</v>
      </c>
      <c r="F56" s="213">
        <v>211.3</v>
      </c>
      <c r="G56" s="213">
        <v>118433</v>
      </c>
      <c r="H56" s="213">
        <f t="shared" si="4"/>
        <v>24.031235210601039</v>
      </c>
      <c r="I56" s="213">
        <f t="shared" si="5"/>
        <v>4.161250935444484E-2</v>
      </c>
      <c r="J56" s="99"/>
    </row>
    <row r="57" spans="1:19">
      <c r="A57" s="213" t="s">
        <v>5009</v>
      </c>
      <c r="B57" s="213" t="s">
        <v>4383</v>
      </c>
      <c r="C57" s="113">
        <v>5039.5</v>
      </c>
      <c r="D57" s="213">
        <v>100</v>
      </c>
      <c r="E57" s="213" t="s">
        <v>4233</v>
      </c>
      <c r="F57" s="213">
        <v>209.6</v>
      </c>
      <c r="G57" s="213">
        <v>2379</v>
      </c>
      <c r="H57" s="213">
        <f t="shared" si="4"/>
        <v>24.043416030534353</v>
      </c>
      <c r="I57" s="213">
        <f t="shared" si="5"/>
        <v>4.1591427721004069E-2</v>
      </c>
      <c r="J57" s="99"/>
    </row>
    <row r="58" spans="1:19">
      <c r="A58" s="213" t="s">
        <v>5012</v>
      </c>
      <c r="B58" s="213" t="s">
        <v>4383</v>
      </c>
      <c r="C58" s="113">
        <v>4979.8999999999996</v>
      </c>
      <c r="D58" s="213">
        <v>100</v>
      </c>
      <c r="E58" s="213" t="s">
        <v>4233</v>
      </c>
      <c r="F58" s="213">
        <v>205.1</v>
      </c>
      <c r="G58" s="213">
        <v>2393</v>
      </c>
      <c r="H58" s="213">
        <f t="shared" si="4"/>
        <v>24.280351048269136</v>
      </c>
      <c r="I58" s="213">
        <f t="shared" si="5"/>
        <v>4.1185565975220391E-2</v>
      </c>
      <c r="J58" s="99"/>
    </row>
    <row r="59" spans="1:19">
      <c r="A59" s="213" t="s">
        <v>5036</v>
      </c>
      <c r="B59" s="213" t="s">
        <v>4383</v>
      </c>
      <c r="C59" s="113">
        <v>5300</v>
      </c>
      <c r="D59" s="213">
        <v>10520</v>
      </c>
      <c r="E59" s="213" t="s">
        <v>4397</v>
      </c>
      <c r="F59" s="213">
        <v>709</v>
      </c>
      <c r="G59" s="213">
        <v>77508</v>
      </c>
      <c r="H59" s="213">
        <f t="shared" si="4"/>
        <v>7.4753173483779971</v>
      </c>
      <c r="I59" s="213">
        <f t="shared" si="5"/>
        <v>0.13377358490566038</v>
      </c>
      <c r="J59" s="99"/>
    </row>
    <row r="60" spans="1:19">
      <c r="A60" s="99" t="s">
        <v>5049</v>
      </c>
      <c r="B60" s="99" t="s">
        <v>4397</v>
      </c>
      <c r="C60" s="113">
        <v>742</v>
      </c>
      <c r="D60" s="213">
        <v>11000</v>
      </c>
      <c r="E60" s="99" t="s">
        <v>4233</v>
      </c>
      <c r="F60" s="113">
        <v>240.4</v>
      </c>
      <c r="G60" s="213">
        <v>33357</v>
      </c>
      <c r="H60" s="213">
        <f t="shared" ref="H60:H78" si="6">C60/F60</f>
        <v>3.0865224625623959</v>
      </c>
      <c r="I60" s="213">
        <f t="shared" ref="I60:I86" si="7">F60/C60</f>
        <v>0.32398921832884098</v>
      </c>
      <c r="J60" s="99"/>
    </row>
    <row r="61" spans="1:19">
      <c r="A61" s="59" t="s">
        <v>5058</v>
      </c>
      <c r="B61" s="99" t="s">
        <v>4397</v>
      </c>
      <c r="C61" s="113">
        <v>752.1</v>
      </c>
      <c r="D61" s="99">
        <v>64000</v>
      </c>
      <c r="E61" s="99" t="s">
        <v>4233</v>
      </c>
      <c r="F61" s="99">
        <v>241.4</v>
      </c>
      <c r="G61" s="99">
        <v>200558</v>
      </c>
      <c r="H61" s="213">
        <f t="shared" si="6"/>
        <v>3.1155758077879039</v>
      </c>
      <c r="I61" s="213">
        <f t="shared" si="7"/>
        <v>0.32096795638877806</v>
      </c>
      <c r="J61" s="99"/>
    </row>
    <row r="62" spans="1:19">
      <c r="A62" s="213"/>
      <c r="B62" s="99" t="s">
        <v>4397</v>
      </c>
      <c r="C62" s="113">
        <v>744.6</v>
      </c>
      <c r="D62" s="99">
        <v>20671</v>
      </c>
      <c r="E62" s="99" t="s">
        <v>4233</v>
      </c>
      <c r="F62" s="99">
        <v>237.8</v>
      </c>
      <c r="G62" s="99">
        <v>63957</v>
      </c>
      <c r="H62" s="213">
        <f t="shared" si="6"/>
        <v>3.1312026913372581</v>
      </c>
      <c r="I62" s="213">
        <f t="shared" si="7"/>
        <v>0.31936610260542575</v>
      </c>
      <c r="J62" s="99"/>
    </row>
    <row r="63" spans="1:19">
      <c r="A63" s="213"/>
      <c r="B63" s="99" t="s">
        <v>4397</v>
      </c>
      <c r="C63" s="113">
        <v>7389</v>
      </c>
      <c r="D63" s="99">
        <v>1000</v>
      </c>
      <c r="E63" s="99" t="s">
        <v>4233</v>
      </c>
      <c r="F63" s="99">
        <v>2411</v>
      </c>
      <c r="G63" s="99">
        <v>3018</v>
      </c>
      <c r="H63" s="213">
        <f t="shared" si="6"/>
        <v>3.0647034425549564</v>
      </c>
      <c r="I63" s="213">
        <f t="shared" si="7"/>
        <v>0.3262958451752605</v>
      </c>
      <c r="J63" s="99"/>
      <c r="P63" s="99"/>
      <c r="Q63" s="99"/>
      <c r="R63" s="99">
        <v>518.4</v>
      </c>
      <c r="S63" s="99" t="s">
        <v>5448</v>
      </c>
    </row>
    <row r="64" spans="1:19">
      <c r="A64" s="213"/>
      <c r="B64" s="99" t="s">
        <v>4397</v>
      </c>
      <c r="C64" s="113">
        <v>7444</v>
      </c>
      <c r="D64" s="152">
        <v>10000</v>
      </c>
      <c r="E64" s="99" t="s">
        <v>4233</v>
      </c>
      <c r="F64" s="113">
        <v>2427</v>
      </c>
      <c r="G64" s="152">
        <v>30180</v>
      </c>
      <c r="H64" s="213">
        <f t="shared" si="6"/>
        <v>3.0671611042439224</v>
      </c>
      <c r="I64" s="213">
        <f t="shared" si="7"/>
        <v>0.32603439011284258</v>
      </c>
      <c r="J64" s="99"/>
      <c r="P64" s="99" t="s">
        <v>61</v>
      </c>
      <c r="Q64" s="99">
        <v>394</v>
      </c>
      <c r="R64" s="99">
        <v>493.3</v>
      </c>
      <c r="S64" s="99" t="s">
        <v>5449</v>
      </c>
    </row>
    <row r="65" spans="1:20">
      <c r="A65" s="161" t="s">
        <v>5100</v>
      </c>
      <c r="B65" s="161" t="s">
        <v>4397</v>
      </c>
      <c r="C65" s="228">
        <v>747.2</v>
      </c>
      <c r="D65" s="161">
        <v>2000</v>
      </c>
      <c r="E65" s="161" t="s">
        <v>4233</v>
      </c>
      <c r="F65" s="228">
        <v>242.8</v>
      </c>
      <c r="G65" s="161">
        <v>6069</v>
      </c>
      <c r="H65" s="230">
        <f t="shared" si="6"/>
        <v>3.0774299835255357</v>
      </c>
      <c r="I65" s="230">
        <f t="shared" si="7"/>
        <v>0.32494646680942185</v>
      </c>
      <c r="J65" s="99"/>
      <c r="P65" s="99" t="s">
        <v>946</v>
      </c>
      <c r="Q65" s="99">
        <v>482.1</v>
      </c>
      <c r="R65" s="99"/>
      <c r="S65" s="99"/>
    </row>
    <row r="66" spans="1:20">
      <c r="A66" s="161" t="s">
        <v>4228</v>
      </c>
      <c r="B66" s="161" t="s">
        <v>4397</v>
      </c>
      <c r="C66" s="228">
        <v>746.4</v>
      </c>
      <c r="D66" s="161">
        <v>4000</v>
      </c>
      <c r="E66" s="161" t="s">
        <v>4233</v>
      </c>
      <c r="F66" s="228">
        <v>241.7</v>
      </c>
      <c r="G66" s="161">
        <v>12167</v>
      </c>
      <c r="H66" s="230">
        <f t="shared" si="6"/>
        <v>3.0881257757550684</v>
      </c>
      <c r="I66" s="230">
        <f t="shared" si="7"/>
        <v>0.3238210075026795</v>
      </c>
      <c r="J66" s="99"/>
      <c r="P66" s="99"/>
      <c r="Q66" s="99"/>
      <c r="R66" s="99">
        <f>Q65*Q67/(R64*1.015)</f>
        <v>13479.941561755106</v>
      </c>
      <c r="S66" s="99" t="s">
        <v>5451</v>
      </c>
    </row>
    <row r="67" spans="1:20">
      <c r="A67" s="161" t="s">
        <v>5116</v>
      </c>
      <c r="B67" s="161" t="s">
        <v>4233</v>
      </c>
      <c r="C67" s="228">
        <v>269.5</v>
      </c>
      <c r="D67" s="161">
        <v>7000</v>
      </c>
      <c r="E67" s="161" t="s">
        <v>4397</v>
      </c>
      <c r="F67" s="228">
        <v>740</v>
      </c>
      <c r="G67" s="161">
        <v>2510</v>
      </c>
      <c r="H67" s="230">
        <f t="shared" si="6"/>
        <v>0.36418918918918919</v>
      </c>
      <c r="I67" s="230">
        <f t="shared" si="7"/>
        <v>2.74582560296846</v>
      </c>
      <c r="J67" s="99"/>
      <c r="L67" s="96"/>
      <c r="M67" s="96"/>
      <c r="N67" s="96"/>
      <c r="O67" s="96"/>
      <c r="P67" s="99" t="s">
        <v>934</v>
      </c>
      <c r="Q67" s="99">
        <v>14000</v>
      </c>
      <c r="R67" s="99">
        <f>Q64*Q67*1.015/R63</f>
        <v>10800.038580246912</v>
      </c>
      <c r="S67" s="99" t="s">
        <v>5450</v>
      </c>
      <c r="T67" s="96"/>
    </row>
    <row r="68" spans="1:20">
      <c r="A68" s="161" t="s">
        <v>5119</v>
      </c>
      <c r="B68" s="161" t="s">
        <v>4233</v>
      </c>
      <c r="C68" s="228">
        <v>2710</v>
      </c>
      <c r="D68" s="161">
        <v>5122</v>
      </c>
      <c r="E68" s="161" t="s">
        <v>4397</v>
      </c>
      <c r="F68" s="228">
        <v>7506</v>
      </c>
      <c r="G68" s="161">
        <v>1821</v>
      </c>
      <c r="H68" s="230">
        <f t="shared" si="6"/>
        <v>0.36104449773514524</v>
      </c>
      <c r="I68" s="230">
        <f t="shared" si="7"/>
        <v>2.7697416974169742</v>
      </c>
      <c r="J68" s="99"/>
      <c r="L68" s="96"/>
      <c r="M68" s="96"/>
      <c r="N68" s="96"/>
      <c r="O68" s="96"/>
      <c r="P68" s="99"/>
      <c r="Q68" s="99"/>
      <c r="R68" s="99"/>
      <c r="S68" s="99"/>
      <c r="T68" s="96"/>
    </row>
    <row r="69" spans="1:20">
      <c r="A69" s="161" t="s">
        <v>5145</v>
      </c>
      <c r="B69" s="161" t="s">
        <v>4233</v>
      </c>
      <c r="C69" s="228">
        <v>275.10000000000002</v>
      </c>
      <c r="D69" s="161">
        <v>2000</v>
      </c>
      <c r="E69" s="161" t="s">
        <v>4397</v>
      </c>
      <c r="F69" s="228">
        <v>778.5</v>
      </c>
      <c r="G69" s="161">
        <v>697</v>
      </c>
      <c r="H69" s="230">
        <f t="shared" si="6"/>
        <v>0.3533718689788054</v>
      </c>
      <c r="I69" s="230">
        <f t="shared" si="7"/>
        <v>2.8298800436205016</v>
      </c>
      <c r="J69" s="99"/>
      <c r="L69" s="96"/>
      <c r="M69" s="96"/>
      <c r="N69" s="96"/>
      <c r="O69" s="96"/>
      <c r="P69" s="99"/>
      <c r="Q69" s="99"/>
      <c r="R69" s="1">
        <f>(R66-R67)*R64</f>
        <v>1321996.1407779921</v>
      </c>
      <c r="S69" s="99" t="s">
        <v>914</v>
      </c>
      <c r="T69" s="96"/>
    </row>
    <row r="70" spans="1:20">
      <c r="A70" s="161" t="s">
        <v>5146</v>
      </c>
      <c r="B70" s="161" t="s">
        <v>4233</v>
      </c>
      <c r="C70" s="228">
        <v>2845</v>
      </c>
      <c r="D70" s="161">
        <v>1614</v>
      </c>
      <c r="E70" s="161" t="s">
        <v>4397</v>
      </c>
      <c r="F70" s="228">
        <v>7914</v>
      </c>
      <c r="G70" s="161">
        <v>572</v>
      </c>
      <c r="H70" s="230">
        <f t="shared" si="6"/>
        <v>0.35948951225676018</v>
      </c>
      <c r="I70" s="230">
        <f t="shared" si="7"/>
        <v>2.7817223198594023</v>
      </c>
      <c r="J70" s="99"/>
      <c r="L70" s="96"/>
      <c r="M70" s="96"/>
      <c r="N70" s="96"/>
      <c r="O70" s="96"/>
      <c r="P70" s="96"/>
      <c r="Q70" s="96"/>
      <c r="R70" s="96"/>
      <c r="S70" s="96"/>
      <c r="T70" s="96"/>
    </row>
    <row r="71" spans="1:20">
      <c r="A71" s="161" t="s">
        <v>5088</v>
      </c>
      <c r="B71" s="161" t="s">
        <v>4233</v>
      </c>
      <c r="C71" s="228">
        <v>291.5</v>
      </c>
      <c r="D71" s="161">
        <v>10000</v>
      </c>
      <c r="E71" s="161" t="s">
        <v>4397</v>
      </c>
      <c r="F71" s="228">
        <v>782.4</v>
      </c>
      <c r="G71" s="161">
        <v>3676</v>
      </c>
      <c r="H71" s="230">
        <f t="shared" si="6"/>
        <v>0.37257157464212681</v>
      </c>
      <c r="I71" s="230">
        <f t="shared" si="7"/>
        <v>2.6840480274442537</v>
      </c>
      <c r="J71" s="99"/>
      <c r="L71" s="96"/>
      <c r="M71" s="96"/>
      <c r="N71" s="96"/>
      <c r="O71" s="96"/>
      <c r="P71" s="96"/>
      <c r="Q71" s="96"/>
      <c r="R71" s="96"/>
      <c r="S71" s="96"/>
      <c r="T71" s="96"/>
    </row>
    <row r="72" spans="1:20">
      <c r="A72" s="161" t="s">
        <v>5152</v>
      </c>
      <c r="B72" s="161" t="s">
        <v>4233</v>
      </c>
      <c r="C72" s="228">
        <v>2868</v>
      </c>
      <c r="D72" s="161">
        <v>1000</v>
      </c>
      <c r="E72" s="161" t="s">
        <v>4397</v>
      </c>
      <c r="F72" s="228">
        <v>7620</v>
      </c>
      <c r="G72" s="161">
        <v>371</v>
      </c>
      <c r="H72" s="230">
        <f t="shared" si="6"/>
        <v>0.37637795275590552</v>
      </c>
      <c r="I72" s="230">
        <f t="shared" si="7"/>
        <v>2.6569037656903767</v>
      </c>
      <c r="J72" s="99"/>
      <c r="L72" s="96"/>
      <c r="M72" s="96"/>
      <c r="N72" s="96"/>
      <c r="O72" s="96"/>
      <c r="P72" s="96"/>
      <c r="Q72" s="96"/>
      <c r="R72" s="96"/>
      <c r="S72" s="96"/>
      <c r="T72" s="96"/>
    </row>
    <row r="73" spans="1:20">
      <c r="A73" s="161"/>
      <c r="B73" s="161" t="s">
        <v>4233</v>
      </c>
      <c r="C73" s="228">
        <v>2799</v>
      </c>
      <c r="D73" s="161">
        <v>2000</v>
      </c>
      <c r="E73" s="161" t="s">
        <v>4397</v>
      </c>
      <c r="F73" s="228">
        <v>7346</v>
      </c>
      <c r="G73" s="161">
        <v>749</v>
      </c>
      <c r="H73" s="230">
        <f t="shared" si="6"/>
        <v>0.38102368635992379</v>
      </c>
      <c r="I73" s="230">
        <f t="shared" si="7"/>
        <v>2.6245087531261166</v>
      </c>
      <c r="J73" s="99"/>
      <c r="L73" s="96"/>
      <c r="M73" s="96"/>
      <c r="N73" s="96"/>
      <c r="O73" s="96"/>
      <c r="P73" s="96"/>
      <c r="Q73" s="96"/>
      <c r="R73" s="96"/>
      <c r="S73" s="96"/>
      <c r="T73" s="96"/>
    </row>
    <row r="74" spans="1:20">
      <c r="A74" s="161"/>
      <c r="B74" s="161" t="s">
        <v>4397</v>
      </c>
      <c r="C74" s="228">
        <v>7529</v>
      </c>
      <c r="D74" s="161">
        <v>1120</v>
      </c>
      <c r="E74" s="161" t="s">
        <v>4233</v>
      </c>
      <c r="F74" s="228">
        <v>2746</v>
      </c>
      <c r="G74" s="161">
        <v>3019</v>
      </c>
      <c r="H74" s="230">
        <f t="shared" si="6"/>
        <v>2.741806263656227</v>
      </c>
      <c r="I74" s="230">
        <f t="shared" si="7"/>
        <v>0.36472307079293398</v>
      </c>
      <c r="J74" s="99"/>
      <c r="L74" s="96"/>
      <c r="M74" s="96"/>
      <c r="N74" s="96"/>
      <c r="O74" s="96"/>
      <c r="P74" s="96"/>
      <c r="Q74" s="96"/>
      <c r="R74" s="96"/>
      <c r="S74" s="96"/>
      <c r="T74" s="96"/>
    </row>
    <row r="75" spans="1:20">
      <c r="A75" s="161" t="s">
        <v>5161</v>
      </c>
      <c r="B75" s="161" t="s">
        <v>4397</v>
      </c>
      <c r="C75" s="228">
        <v>8432</v>
      </c>
      <c r="D75" s="161">
        <v>2000</v>
      </c>
      <c r="E75" s="161" t="s">
        <v>4233</v>
      </c>
      <c r="F75" s="228">
        <v>2902</v>
      </c>
      <c r="G75" s="161">
        <v>5728</v>
      </c>
      <c r="H75" s="230">
        <f t="shared" si="6"/>
        <v>2.9055823569951755</v>
      </c>
      <c r="I75" s="230">
        <f t="shared" si="7"/>
        <v>0.34416508538899432</v>
      </c>
      <c r="J75" s="99"/>
      <c r="L75" s="96"/>
      <c r="M75" s="96"/>
      <c r="N75" s="96"/>
      <c r="O75" s="96"/>
      <c r="P75" s="96"/>
      <c r="Q75" s="96"/>
      <c r="R75" s="96"/>
      <c r="S75" s="96"/>
      <c r="T75" s="96"/>
    </row>
    <row r="76" spans="1:20">
      <c r="A76" s="161" t="s">
        <v>5197</v>
      </c>
      <c r="B76" s="161" t="s">
        <v>4233</v>
      </c>
      <c r="C76" s="228">
        <v>3039</v>
      </c>
      <c r="D76" s="161">
        <v>5424</v>
      </c>
      <c r="E76" s="161" t="s">
        <v>4397</v>
      </c>
      <c r="F76" s="228">
        <v>8125</v>
      </c>
      <c r="G76" s="161">
        <v>2000</v>
      </c>
      <c r="H76" s="230">
        <f t="shared" si="6"/>
        <v>0.37403076923076922</v>
      </c>
      <c r="I76" s="230">
        <f t="shared" si="7"/>
        <v>2.6735768344850279</v>
      </c>
      <c r="J76" s="99"/>
      <c r="L76" s="96"/>
      <c r="M76" s="301">
        <f>49/875</f>
        <v>5.6000000000000001E-2</v>
      </c>
      <c r="N76" s="301">
        <f>1-M76</f>
        <v>0.94399999999999995</v>
      </c>
      <c r="P76" s="96"/>
      <c r="Q76" s="96"/>
      <c r="R76" s="96"/>
      <c r="S76" s="96"/>
      <c r="T76" s="96"/>
    </row>
    <row r="77" spans="1:20">
      <c r="A77" s="60" t="s">
        <v>5400</v>
      </c>
      <c r="B77" s="60" t="s">
        <v>4233</v>
      </c>
      <c r="C77" s="294">
        <v>5002</v>
      </c>
      <c r="D77" s="60">
        <v>14000</v>
      </c>
      <c r="E77" s="60" t="s">
        <v>5401</v>
      </c>
      <c r="F77" s="294">
        <v>4038</v>
      </c>
      <c r="G77" s="60">
        <f t="shared" ref="G77:G83" si="8">C77*D77*0.99025/(F77*1.00464)</f>
        <v>17093.846267040593</v>
      </c>
      <c r="H77" s="209">
        <f>C77/F77</f>
        <v>1.2387320455671125</v>
      </c>
      <c r="I77" s="209">
        <f t="shared" si="7"/>
        <v>0.80727708916433427</v>
      </c>
      <c r="J77" s="60"/>
      <c r="L77" s="96"/>
      <c r="M77" s="96"/>
      <c r="N77" s="96"/>
      <c r="O77" s="96"/>
      <c r="P77" s="96"/>
      <c r="Q77" s="96"/>
      <c r="R77" s="96"/>
      <c r="S77" s="96"/>
      <c r="T77" s="96"/>
    </row>
    <row r="78" spans="1:20">
      <c r="A78" s="60" t="s">
        <v>5405</v>
      </c>
      <c r="B78" s="60" t="s">
        <v>4233</v>
      </c>
      <c r="C78" s="294">
        <v>5184</v>
      </c>
      <c r="D78" s="60">
        <v>17550</v>
      </c>
      <c r="E78" s="60" t="s">
        <v>5401</v>
      </c>
      <c r="F78" s="294">
        <v>3940</v>
      </c>
      <c r="G78" s="60">
        <f t="shared" si="8"/>
        <v>22760.420279345461</v>
      </c>
      <c r="H78" s="209">
        <f t="shared" si="6"/>
        <v>1.315736040609137</v>
      </c>
      <c r="I78" s="209">
        <f t="shared" si="7"/>
        <v>0.76003086419753085</v>
      </c>
      <c r="J78" s="60"/>
      <c r="K78" s="96"/>
      <c r="M78" s="96"/>
      <c r="N78" s="96"/>
      <c r="O78" s="96"/>
      <c r="P78" s="96"/>
      <c r="Q78" s="96"/>
      <c r="R78" s="96"/>
      <c r="S78" s="96"/>
      <c r="T78" s="96"/>
    </row>
    <row r="79" spans="1:20">
      <c r="A79" s="121" t="s">
        <v>5512</v>
      </c>
      <c r="B79" s="121" t="s">
        <v>4397</v>
      </c>
      <c r="C79" s="79">
        <v>1348.1</v>
      </c>
      <c r="D79" s="121">
        <v>22264</v>
      </c>
      <c r="E79" s="292" t="s">
        <v>4383</v>
      </c>
      <c r="F79" s="293">
        <v>7159.6</v>
      </c>
      <c r="G79" s="121">
        <f t="shared" si="8"/>
        <v>4132.100996929863</v>
      </c>
      <c r="H79" s="222">
        <f t="shared" ref="H79:H83" si="9">C79/F79</f>
        <v>0.18829264204704171</v>
      </c>
      <c r="I79" s="222">
        <f t="shared" si="7"/>
        <v>5.3108819820488105</v>
      </c>
      <c r="J79" s="99"/>
      <c r="K79" s="96"/>
      <c r="M79" s="96"/>
      <c r="N79" s="96"/>
      <c r="O79" s="96"/>
      <c r="P79" s="96"/>
      <c r="Q79" s="96"/>
      <c r="R79" s="96"/>
      <c r="S79" s="96"/>
      <c r="T79" s="96"/>
    </row>
    <row r="80" spans="1:20">
      <c r="A80" s="121" t="s">
        <v>5512</v>
      </c>
      <c r="B80" s="121" t="s">
        <v>4397</v>
      </c>
      <c r="C80" s="79">
        <v>1379.9</v>
      </c>
      <c r="D80" s="121">
        <v>12000</v>
      </c>
      <c r="E80" s="292" t="s">
        <v>4383</v>
      </c>
      <c r="F80" s="293">
        <v>7121.4</v>
      </c>
      <c r="G80" s="121">
        <f t="shared" si="8"/>
        <v>2291.9116165429182</v>
      </c>
      <c r="H80" s="222">
        <f t="shared" si="9"/>
        <v>0.193768079310248</v>
      </c>
      <c r="I80" s="222">
        <f t="shared" si="7"/>
        <v>5.1608087542575545</v>
      </c>
      <c r="J80" s="99"/>
      <c r="K80" s="96"/>
      <c r="M80" s="96"/>
      <c r="N80" s="96"/>
      <c r="O80" s="96"/>
      <c r="P80" s="96"/>
      <c r="Q80" s="96"/>
      <c r="R80" s="96"/>
      <c r="S80" s="96"/>
      <c r="T80" s="96"/>
    </row>
    <row r="81" spans="1:25">
      <c r="A81" s="60" t="s">
        <v>5520</v>
      </c>
      <c r="B81" s="60" t="s">
        <v>5401</v>
      </c>
      <c r="C81" s="294">
        <v>482.1</v>
      </c>
      <c r="D81" s="60">
        <v>14000</v>
      </c>
      <c r="E81" s="60" t="s">
        <v>4233</v>
      </c>
      <c r="F81" s="294">
        <v>493.3</v>
      </c>
      <c r="G81" s="60">
        <f t="shared" si="8"/>
        <v>13486.16401248299</v>
      </c>
      <c r="H81" s="209">
        <f>C81/F81</f>
        <v>0.9772957632272451</v>
      </c>
      <c r="I81" s="209">
        <f t="shared" si="7"/>
        <v>1.0232316946691558</v>
      </c>
      <c r="J81" s="60"/>
      <c r="K81" s="96"/>
      <c r="M81" s="96"/>
      <c r="N81" s="96"/>
      <c r="O81" s="96"/>
      <c r="P81" s="96"/>
      <c r="Q81" s="96"/>
      <c r="R81" s="96"/>
      <c r="S81" s="96"/>
      <c r="T81" s="96"/>
    </row>
    <row r="82" spans="1:25">
      <c r="A82" s="60" t="s">
        <v>4850</v>
      </c>
      <c r="B82" s="60" t="s">
        <v>5401</v>
      </c>
      <c r="C82" s="294">
        <v>482.1</v>
      </c>
      <c r="D82" s="60">
        <v>17000</v>
      </c>
      <c r="E82" s="60" t="s">
        <v>4233</v>
      </c>
      <c r="F82" s="294">
        <v>493.3</v>
      </c>
      <c r="G82" s="60">
        <f t="shared" si="8"/>
        <v>16376.056300872204</v>
      </c>
      <c r="H82" s="209">
        <f t="shared" si="9"/>
        <v>0.9772957632272451</v>
      </c>
      <c r="I82" s="209">
        <f t="shared" si="7"/>
        <v>1.0232316946691558</v>
      </c>
      <c r="J82" s="60"/>
      <c r="K82" s="96"/>
      <c r="N82" s="96"/>
      <c r="O82" s="96"/>
      <c r="P82" s="96"/>
      <c r="Q82" s="96"/>
      <c r="R82" s="96"/>
      <c r="S82" s="96"/>
      <c r="T82" s="96"/>
    </row>
    <row r="83" spans="1:25">
      <c r="A83" s="121" t="s">
        <v>5520</v>
      </c>
      <c r="B83" s="121" t="s">
        <v>4397</v>
      </c>
      <c r="C83" s="79">
        <v>1494.5</v>
      </c>
      <c r="D83" s="121">
        <v>15908</v>
      </c>
      <c r="E83" s="292" t="s">
        <v>4383</v>
      </c>
      <c r="F83" s="293">
        <v>7581.3</v>
      </c>
      <c r="G83" s="121">
        <f t="shared" si="8"/>
        <v>3091.0227719958607</v>
      </c>
      <c r="H83" s="222">
        <f t="shared" si="9"/>
        <v>0.19712977985305949</v>
      </c>
      <c r="I83" s="222">
        <f t="shared" si="7"/>
        <v>5.0728002676480433</v>
      </c>
      <c r="J83" s="99"/>
      <c r="K83" s="96"/>
      <c r="L83" t="s">
        <v>25</v>
      </c>
      <c r="M83" t="s">
        <v>25</v>
      </c>
      <c r="N83" s="96" t="s">
        <v>25</v>
      </c>
      <c r="O83" s="96"/>
      <c r="P83" s="96"/>
      <c r="Q83" s="96"/>
      <c r="R83" s="96"/>
      <c r="S83" s="96"/>
      <c r="T83" s="96"/>
    </row>
    <row r="84" spans="1:25">
      <c r="A84" s="121" t="s">
        <v>5523</v>
      </c>
      <c r="B84" s="121" t="s">
        <v>4397</v>
      </c>
      <c r="C84" s="79">
        <v>1509.3</v>
      </c>
      <c r="D84" s="121">
        <v>2000</v>
      </c>
      <c r="E84" s="292" t="s">
        <v>4383</v>
      </c>
      <c r="F84" s="293">
        <v>7614.2</v>
      </c>
      <c r="G84" s="121">
        <f t="shared" ref="G84" si="10">C84*D84*0.99025/(F84*1.00464)</f>
        <v>390.76501350614762</v>
      </c>
      <c r="H84" s="222">
        <f>C84/F84</f>
        <v>0.19822174358435554</v>
      </c>
      <c r="I84" s="222">
        <f>F84/C84</f>
        <v>5.0448552309017423</v>
      </c>
      <c r="J84" s="99"/>
      <c r="L84" t="s">
        <v>25</v>
      </c>
      <c r="N84" s="96"/>
      <c r="O84" s="96"/>
      <c r="P84" s="96"/>
      <c r="Q84" s="96"/>
      <c r="R84" s="96"/>
      <c r="S84" s="96"/>
      <c r="T84" s="96"/>
    </row>
    <row r="85" spans="1:25">
      <c r="A85" s="60" t="s">
        <v>5529</v>
      </c>
      <c r="B85" s="60" t="s">
        <v>4397</v>
      </c>
      <c r="C85" s="294">
        <v>1619.9</v>
      </c>
      <c r="D85" s="60">
        <v>1000</v>
      </c>
      <c r="E85" s="60" t="s">
        <v>5401</v>
      </c>
      <c r="F85" s="294">
        <v>508.7</v>
      </c>
      <c r="G85" s="60">
        <f>C85*D85*0.99025/(F85*1.0046399)</f>
        <v>3138.7801424463928</v>
      </c>
      <c r="H85" s="209">
        <f t="shared" ref="H85" si="11">C85/F85</f>
        <v>3.1843915863966976</v>
      </c>
      <c r="I85" s="209">
        <f t="shared" ref="I85" si="12">F85/C85</f>
        <v>0.3140317303537255</v>
      </c>
      <c r="J85" s="60" t="s">
        <v>749</v>
      </c>
      <c r="N85" s="96"/>
      <c r="O85" s="96"/>
      <c r="P85" s="96"/>
      <c r="Q85" s="96"/>
      <c r="R85" s="96"/>
      <c r="S85" s="96"/>
      <c r="T85" s="96"/>
    </row>
    <row r="86" spans="1:25">
      <c r="A86" s="60" t="s">
        <v>5529</v>
      </c>
      <c r="B86" s="60" t="s">
        <v>4233</v>
      </c>
      <c r="C86" s="294">
        <v>620</v>
      </c>
      <c r="D86" s="60">
        <v>10908</v>
      </c>
      <c r="E86" s="60" t="s">
        <v>5401</v>
      </c>
      <c r="F86" s="294">
        <v>516</v>
      </c>
      <c r="G86" s="60">
        <f t="shared" ref="G86:G90" si="13">C86*D86*0.99025/(F86*1.0046399)</f>
        <v>12918.781286244837</v>
      </c>
      <c r="H86" s="209">
        <f>C86/F86</f>
        <v>1.2015503875968991</v>
      </c>
      <c r="I86" s="209">
        <f t="shared" si="7"/>
        <v>0.83225806451612905</v>
      </c>
      <c r="J86" s="60" t="s">
        <v>452</v>
      </c>
      <c r="N86" s="96"/>
      <c r="O86" s="96"/>
      <c r="P86" s="96" t="s">
        <v>25</v>
      </c>
      <c r="Q86" s="96"/>
      <c r="R86" s="96"/>
      <c r="S86" s="96"/>
      <c r="T86" s="96"/>
    </row>
    <row r="87" spans="1:25">
      <c r="A87" s="295" t="s">
        <v>5529</v>
      </c>
      <c r="B87" s="295" t="s">
        <v>4233</v>
      </c>
      <c r="C87" s="297">
        <v>620</v>
      </c>
      <c r="D87" s="295">
        <v>10061</v>
      </c>
      <c r="E87" s="292" t="s">
        <v>4383</v>
      </c>
      <c r="F87" s="293">
        <v>8480</v>
      </c>
      <c r="G87" s="295">
        <f t="shared" si="13"/>
        <v>725.05577303473399</v>
      </c>
      <c r="H87" s="296">
        <f>C87/F87</f>
        <v>7.3113207547169809E-2</v>
      </c>
      <c r="I87" s="296">
        <f>F87/C87</f>
        <v>13.67741935483871</v>
      </c>
      <c r="J87" s="99" t="s">
        <v>452</v>
      </c>
      <c r="N87" s="96"/>
      <c r="O87" s="96" t="s">
        <v>25</v>
      </c>
      <c r="P87" s="96"/>
      <c r="Q87" s="96"/>
      <c r="R87" s="96"/>
      <c r="S87" s="96"/>
      <c r="T87" s="96"/>
    </row>
    <row r="88" spans="1:25">
      <c r="A88" s="60" t="s">
        <v>5530</v>
      </c>
      <c r="B88" s="60" t="s">
        <v>5401</v>
      </c>
      <c r="C88" s="294">
        <v>538.79999999999995</v>
      </c>
      <c r="D88" s="60">
        <v>12918</v>
      </c>
      <c r="E88" s="60" t="s">
        <v>4233</v>
      </c>
      <c r="F88" s="294">
        <v>599.9</v>
      </c>
      <c r="G88" s="60">
        <f>C88*D88*0.99025/(F88*1.0046399)</f>
        <v>11436.112893338457</v>
      </c>
      <c r="H88" s="209">
        <f>C88/F88</f>
        <v>0.89814969161526914</v>
      </c>
      <c r="I88" s="209">
        <f>F88/C88</f>
        <v>1.1134001484780995</v>
      </c>
      <c r="J88" s="60" t="s">
        <v>452</v>
      </c>
      <c r="L88" t="s">
        <v>25</v>
      </c>
      <c r="N88" s="96"/>
      <c r="O88" s="96"/>
      <c r="P88" s="96"/>
      <c r="Q88" s="96"/>
      <c r="R88" s="96"/>
      <c r="S88" s="96"/>
      <c r="T88" s="96"/>
    </row>
    <row r="89" spans="1:25">
      <c r="A89" s="60" t="s">
        <v>5530</v>
      </c>
      <c r="B89" s="60" t="s">
        <v>5401</v>
      </c>
      <c r="C89" s="294">
        <v>543</v>
      </c>
      <c r="D89" s="60">
        <v>3141</v>
      </c>
      <c r="E89" s="60" t="s">
        <v>5531</v>
      </c>
      <c r="F89" s="294">
        <v>1591</v>
      </c>
      <c r="G89" s="60">
        <f t="shared" si="13"/>
        <v>1056.6520864642159</v>
      </c>
      <c r="H89" s="209">
        <f>C89/F89</f>
        <v>0.34129478315524825</v>
      </c>
      <c r="I89" s="209">
        <f>F89/C89</f>
        <v>2.9300184162062615</v>
      </c>
      <c r="J89" s="60" t="s">
        <v>749</v>
      </c>
      <c r="N89" s="96"/>
      <c r="O89" s="96"/>
      <c r="P89" s="96"/>
      <c r="Q89" s="96"/>
      <c r="R89" s="96"/>
      <c r="S89" s="96"/>
      <c r="T89" s="96"/>
    </row>
    <row r="90" spans="1:25">
      <c r="A90" s="295" t="s">
        <v>5530</v>
      </c>
      <c r="B90" s="295" t="s">
        <v>4233</v>
      </c>
      <c r="C90" s="297">
        <f>642*N76</f>
        <v>606.048</v>
      </c>
      <c r="D90" s="295">
        <v>27000</v>
      </c>
      <c r="E90" s="292" t="s">
        <v>4383</v>
      </c>
      <c r="F90" s="293">
        <v>8367</v>
      </c>
      <c r="G90" s="295">
        <f t="shared" si="13"/>
        <v>1927.6822398251309</v>
      </c>
      <c r="H90" s="296">
        <f>C90/F90</f>
        <v>7.2433130154177128E-2</v>
      </c>
      <c r="I90" s="296">
        <f>F90/C90</f>
        <v>13.805837161412958</v>
      </c>
      <c r="J90" s="99"/>
      <c r="N90" s="96"/>
      <c r="O90" s="96"/>
      <c r="P90" s="96"/>
      <c r="Q90" s="96"/>
      <c r="R90" s="96"/>
      <c r="S90" s="96"/>
      <c r="T90" s="96"/>
    </row>
    <row r="91" spans="1:25">
      <c r="A91" s="121" t="s">
        <v>5534</v>
      </c>
      <c r="B91" s="121" t="s">
        <v>4397</v>
      </c>
      <c r="C91" s="79">
        <v>1656.7</v>
      </c>
      <c r="D91" s="121">
        <v>11857</v>
      </c>
      <c r="E91" s="292" t="s">
        <v>4383</v>
      </c>
      <c r="F91" s="293">
        <v>8338</v>
      </c>
      <c r="G91" s="121">
        <f t="shared" ref="G91:G93" si="14">C91*D91*0.99025/(F91*1.0046399)</f>
        <v>2322.1551342366233</v>
      </c>
      <c r="H91" s="5">
        <f t="shared" ref="H91:H92" si="15">C91/F91</f>
        <v>0.19869273207004079</v>
      </c>
      <c r="I91" s="222">
        <f t="shared" ref="I91:I92" si="16">F91/C91</f>
        <v>5.0328967223999515</v>
      </c>
      <c r="J91" s="99" t="s">
        <v>749</v>
      </c>
      <c r="N91" s="96"/>
      <c r="O91" s="96"/>
      <c r="P91" s="96"/>
      <c r="Q91" s="96"/>
      <c r="R91" s="96"/>
      <c r="S91" s="96"/>
      <c r="T91" s="96"/>
    </row>
    <row r="92" spans="1:25">
      <c r="A92" s="121" t="s">
        <v>5534</v>
      </c>
      <c r="B92" s="121" t="s">
        <v>4397</v>
      </c>
      <c r="C92" s="79">
        <v>1656.7</v>
      </c>
      <c r="D92" s="121">
        <v>29143</v>
      </c>
      <c r="E92" s="298" t="s">
        <v>4521</v>
      </c>
      <c r="F92" s="49">
        <v>2687.7</v>
      </c>
      <c r="G92" s="121">
        <f t="shared" si="14"/>
        <v>17706.460944457111</v>
      </c>
      <c r="H92" s="222">
        <f t="shared" si="15"/>
        <v>0.61640063995237571</v>
      </c>
      <c r="I92" s="222">
        <f t="shared" si="16"/>
        <v>1.6223214824651413</v>
      </c>
      <c r="J92" s="99" t="s">
        <v>749</v>
      </c>
      <c r="N92" s="96"/>
      <c r="O92" s="96"/>
      <c r="P92" s="96"/>
      <c r="Q92" s="96"/>
      <c r="R92" s="96"/>
      <c r="S92" s="96"/>
      <c r="T92" s="96"/>
    </row>
    <row r="93" spans="1:25">
      <c r="A93" s="295" t="s">
        <v>5534</v>
      </c>
      <c r="B93" s="295" t="s">
        <v>4233</v>
      </c>
      <c r="C93" s="297">
        <f>657.3*N76</f>
        <v>620.49119999999994</v>
      </c>
      <c r="D93" s="295">
        <v>128144</v>
      </c>
      <c r="E93" s="292" t="s">
        <v>4383</v>
      </c>
      <c r="F93" s="293">
        <v>8337.2999999999993</v>
      </c>
      <c r="G93" s="295">
        <f t="shared" si="14"/>
        <v>9400.325729578708</v>
      </c>
      <c r="H93" s="296">
        <f>C93/F93</f>
        <v>7.44235184052391E-2</v>
      </c>
      <c r="I93" s="296">
        <f>F93/C93</f>
        <v>13.436612799665813</v>
      </c>
      <c r="J93" s="99" t="s">
        <v>452</v>
      </c>
      <c r="N93" s="96"/>
      <c r="O93" s="96"/>
      <c r="P93" s="96"/>
      <c r="Q93" s="96"/>
      <c r="R93" s="99" t="s">
        <v>1083</v>
      </c>
      <c r="S93" s="99"/>
      <c r="T93" s="99"/>
      <c r="U93" s="99"/>
      <c r="V93" s="99"/>
      <c r="W93" s="99"/>
      <c r="X93" s="99"/>
      <c r="Y93" s="99"/>
    </row>
    <row r="94" spans="1:25">
      <c r="A94" s="121" t="s">
        <v>5534</v>
      </c>
      <c r="B94" s="121" t="s">
        <v>4397</v>
      </c>
      <c r="C94" s="79">
        <v>1674.8</v>
      </c>
      <c r="D94" s="121">
        <v>300</v>
      </c>
      <c r="E94" s="298" t="s">
        <v>4521</v>
      </c>
      <c r="F94" s="49">
        <v>2700.4</v>
      </c>
      <c r="G94" s="121">
        <f t="shared" ref="G94:G99" si="17">C94*D94*0.99025/(F94*1.0046399)</f>
        <v>183.39628590984589</v>
      </c>
      <c r="H94" s="5">
        <f t="shared" ref="H94:H99" si="18">C94/F94</f>
        <v>0.62020441416086503</v>
      </c>
      <c r="I94" s="222">
        <f t="shared" ref="I94:I99" si="19">F94/C94</f>
        <v>1.6123716264628614</v>
      </c>
      <c r="J94" s="99" t="s">
        <v>452</v>
      </c>
      <c r="L94" t="s">
        <v>25</v>
      </c>
      <c r="N94" s="96"/>
      <c r="O94" s="96"/>
      <c r="P94" s="96"/>
      <c r="Q94" s="96"/>
      <c r="R94" s="99"/>
      <c r="S94" s="99"/>
      <c r="T94" s="99" t="s">
        <v>934</v>
      </c>
      <c r="U94" s="99" t="s">
        <v>937</v>
      </c>
      <c r="V94" s="99" t="s">
        <v>5506</v>
      </c>
      <c r="W94" s="69" t="s">
        <v>1232</v>
      </c>
      <c r="X94" s="69" t="s">
        <v>938</v>
      </c>
      <c r="Y94" s="69" t="s">
        <v>5540</v>
      </c>
    </row>
    <row r="95" spans="1:25">
      <c r="A95" s="295" t="s">
        <v>4863</v>
      </c>
      <c r="B95" s="295" t="s">
        <v>4233</v>
      </c>
      <c r="C95" s="297">
        <f>657.3*N76</f>
        <v>620.49119999999994</v>
      </c>
      <c r="D95" s="295">
        <v>15063</v>
      </c>
      <c r="E95" s="292" t="s">
        <v>4383</v>
      </c>
      <c r="F95" s="293">
        <v>8338</v>
      </c>
      <c r="G95" s="295">
        <f t="shared" si="17"/>
        <v>1104.8915202015</v>
      </c>
      <c r="H95" s="296">
        <f t="shared" si="18"/>
        <v>7.4417270328615961E-2</v>
      </c>
      <c r="I95" s="296">
        <f t="shared" si="19"/>
        <v>13.437740938147069</v>
      </c>
      <c r="J95" s="99" t="s">
        <v>749</v>
      </c>
      <c r="N95" s="96"/>
      <c r="O95" s="96"/>
      <c r="P95" s="96"/>
      <c r="Q95" s="96"/>
      <c r="R95" s="99"/>
      <c r="S95" s="99" t="s">
        <v>4383</v>
      </c>
      <c r="T95" s="99">
        <v>874</v>
      </c>
      <c r="U95" s="117">
        <v>6337102</v>
      </c>
      <c r="V95" s="117">
        <f>U95/T95</f>
        <v>7250.6887871853551</v>
      </c>
      <c r="W95" s="117">
        <f>V95*1.01</f>
        <v>7323.195675057209</v>
      </c>
      <c r="X95" s="99">
        <f>'برنامه 5 ساله'!P43</f>
        <v>12522</v>
      </c>
      <c r="Y95" s="117">
        <f>T95*X95</f>
        <v>10944228</v>
      </c>
    </row>
    <row r="96" spans="1:25">
      <c r="A96" s="295" t="s">
        <v>5543</v>
      </c>
      <c r="B96" s="295" t="s">
        <v>4233</v>
      </c>
      <c r="C96" s="297">
        <f>689.1*N76</f>
        <v>650.5104</v>
      </c>
      <c r="D96" s="295">
        <v>72223</v>
      </c>
      <c r="E96" s="292" t="s">
        <v>4383</v>
      </c>
      <c r="F96" s="293">
        <v>8740</v>
      </c>
      <c r="G96" s="295">
        <f t="shared" si="17"/>
        <v>5298.4978734199558</v>
      </c>
      <c r="H96" s="296">
        <f t="shared" si="18"/>
        <v>7.442910755148742E-2</v>
      </c>
      <c r="I96" s="296">
        <f t="shared" si="19"/>
        <v>13.435603796649524</v>
      </c>
      <c r="J96" s="99" t="s">
        <v>749</v>
      </c>
      <c r="M96" t="s">
        <v>25</v>
      </c>
      <c r="R96" s="99"/>
      <c r="S96" s="99" t="s">
        <v>4233</v>
      </c>
      <c r="T96" s="99">
        <v>295000</v>
      </c>
      <c r="U96" s="117">
        <v>148594302</v>
      </c>
      <c r="V96" s="117">
        <f t="shared" ref="V96:V97" si="20">U96/T96</f>
        <v>503.70949830508476</v>
      </c>
      <c r="W96" s="117">
        <f t="shared" ref="W96:W97" si="21">V96*1.01</f>
        <v>508.74659328813561</v>
      </c>
      <c r="X96" s="99">
        <f>'برنامه 5 ساله'!P27</f>
        <v>1044.7</v>
      </c>
      <c r="Y96" s="117">
        <f t="shared" ref="Y96:Y97" si="22">T96*X96</f>
        <v>308186500</v>
      </c>
    </row>
    <row r="97" spans="1:27">
      <c r="A97" s="295" t="s">
        <v>5543</v>
      </c>
      <c r="B97" s="295" t="s">
        <v>4233</v>
      </c>
      <c r="C97" s="297">
        <f>689.1*N76</f>
        <v>650.5104</v>
      </c>
      <c r="D97" s="295">
        <v>76080</v>
      </c>
      <c r="E97" s="292" t="s">
        <v>4383</v>
      </c>
      <c r="F97" s="293">
        <v>8758.5</v>
      </c>
      <c r="G97" s="295">
        <f t="shared" si="17"/>
        <v>5569.6697205293094</v>
      </c>
      <c r="H97" s="296">
        <f t="shared" si="18"/>
        <v>7.4271895872580929E-2</v>
      </c>
      <c r="I97" s="296">
        <f t="shared" si="19"/>
        <v>13.464043003770577</v>
      </c>
      <c r="J97" s="99" t="s">
        <v>452</v>
      </c>
      <c r="M97" t="s">
        <v>25</v>
      </c>
      <c r="R97" s="99"/>
      <c r="S97" s="99" t="s">
        <v>4397</v>
      </c>
      <c r="T97" s="99">
        <v>2850</v>
      </c>
      <c r="U97" s="117">
        <v>4015726</v>
      </c>
      <c r="V97" s="117">
        <f t="shared" si="20"/>
        <v>1409.0266666666666</v>
      </c>
      <c r="W97" s="117">
        <f t="shared" si="21"/>
        <v>1423.1169333333332</v>
      </c>
      <c r="X97" s="99">
        <v>1657</v>
      </c>
      <c r="Y97" s="117">
        <f t="shared" si="22"/>
        <v>4722450</v>
      </c>
      <c r="Z97" t="s">
        <v>25</v>
      </c>
    </row>
    <row r="98" spans="1:27">
      <c r="A98" s="295" t="s">
        <v>5543</v>
      </c>
      <c r="B98" s="295" t="s">
        <v>4233</v>
      </c>
      <c r="C98" s="297">
        <f>689.1*N76</f>
        <v>650.5104</v>
      </c>
      <c r="D98" s="295">
        <v>53420</v>
      </c>
      <c r="E98" s="62" t="s">
        <v>4379</v>
      </c>
      <c r="F98" s="51">
        <v>8280.2000000000007</v>
      </c>
      <c r="G98" s="295">
        <f t="shared" si="17"/>
        <v>4136.6781238317672</v>
      </c>
      <c r="H98" s="296">
        <f t="shared" si="18"/>
        <v>7.8562160334291434E-2</v>
      </c>
      <c r="I98" s="296">
        <f t="shared" si="19"/>
        <v>12.728774205608397</v>
      </c>
      <c r="J98" s="99" t="s">
        <v>452</v>
      </c>
      <c r="R98" s="99" t="s">
        <v>5505</v>
      </c>
      <c r="S98" s="99" t="s">
        <v>5401</v>
      </c>
      <c r="T98" s="99">
        <v>0</v>
      </c>
      <c r="U98" s="117">
        <v>683292</v>
      </c>
      <c r="V98" s="117"/>
      <c r="W98" s="117"/>
      <c r="X98" s="99">
        <f>'برنامه 5 ساله'!P44</f>
        <v>945.2</v>
      </c>
      <c r="Y98" s="117">
        <f>U98</f>
        <v>683292</v>
      </c>
    </row>
    <row r="99" spans="1:27">
      <c r="A99" s="295" t="s">
        <v>5543</v>
      </c>
      <c r="B99" s="295" t="s">
        <v>4233</v>
      </c>
      <c r="C99" s="297">
        <f>689.1*N76</f>
        <v>650.5104</v>
      </c>
      <c r="D99" s="295">
        <v>10732</v>
      </c>
      <c r="E99" s="298" t="s">
        <v>4521</v>
      </c>
      <c r="F99" s="49">
        <v>2696.3</v>
      </c>
      <c r="G99" s="295">
        <f t="shared" si="17"/>
        <v>2552.1202006930585</v>
      </c>
      <c r="H99" s="296">
        <f t="shared" si="18"/>
        <v>0.24126039387308532</v>
      </c>
      <c r="I99" s="296">
        <f t="shared" si="19"/>
        <v>4.1448991438107683</v>
      </c>
      <c r="J99" s="99" t="s">
        <v>452</v>
      </c>
      <c r="N99" t="s">
        <v>25</v>
      </c>
      <c r="R99" s="99" t="s">
        <v>5505</v>
      </c>
      <c r="S99" s="99" t="s">
        <v>4553</v>
      </c>
      <c r="T99" s="99">
        <v>0</v>
      </c>
      <c r="U99" s="117">
        <v>270969</v>
      </c>
      <c r="V99" s="117"/>
      <c r="W99" s="117"/>
      <c r="X99" s="99">
        <v>850</v>
      </c>
      <c r="Y99" s="117">
        <f>U99</f>
        <v>270969</v>
      </c>
      <c r="AA99" t="s">
        <v>25</v>
      </c>
    </row>
    <row r="100" spans="1:27">
      <c r="A100" s="295" t="s">
        <v>5548</v>
      </c>
      <c r="B100" s="295" t="s">
        <v>4233</v>
      </c>
      <c r="C100" s="297">
        <f>723.5*N76</f>
        <v>682.98399999999992</v>
      </c>
      <c r="D100" s="295">
        <v>5030</v>
      </c>
      <c r="E100" s="292" t="s">
        <v>4383</v>
      </c>
      <c r="F100" s="293">
        <v>8966.4</v>
      </c>
      <c r="G100" s="295">
        <f t="shared" ref="G100" si="23">C100*D100*0.99025/(F100*1.0046399)</f>
        <v>377.6546479714504</v>
      </c>
      <c r="H100" s="296">
        <f t="shared" ref="H100" si="24">C100/F100</f>
        <v>7.6171484653818691E-2</v>
      </c>
      <c r="I100" s="296">
        <f t="shared" ref="I100" si="25">F100/C100</f>
        <v>13.128272404624413</v>
      </c>
      <c r="J100" s="99" t="s">
        <v>749</v>
      </c>
      <c r="R100" s="99"/>
      <c r="S100" s="99"/>
      <c r="T100" s="99"/>
      <c r="U100" s="117"/>
      <c r="V100" s="117"/>
      <c r="W100" s="99"/>
      <c r="X100" s="99"/>
      <c r="Y100" s="99"/>
    </row>
    <row r="101" spans="1:27">
      <c r="A101" s="295" t="s">
        <v>5548</v>
      </c>
      <c r="B101" s="295" t="s">
        <v>4233</v>
      </c>
      <c r="C101" s="297">
        <f>723.5*N76</f>
        <v>682.98399999999992</v>
      </c>
      <c r="D101" s="295">
        <v>57955</v>
      </c>
      <c r="E101" s="62" t="s">
        <v>4379</v>
      </c>
      <c r="F101" s="51">
        <v>8537.2999999999993</v>
      </c>
      <c r="G101" s="295">
        <f t="shared" ref="G101:G105" si="26">C101*D101*0.99025/(F101*1.0046399)</f>
        <v>4569.9907996885258</v>
      </c>
      <c r="H101" s="296">
        <f t="shared" ref="H101:H104" si="27">C101/F101</f>
        <v>0.08</v>
      </c>
      <c r="I101" s="296">
        <f t="shared" ref="I101:I104" si="28">F101/C101</f>
        <v>12.5</v>
      </c>
      <c r="J101" s="99" t="s">
        <v>749</v>
      </c>
      <c r="M101" s="299">
        <f>H113/H111</f>
        <v>0.98953856749311309</v>
      </c>
      <c r="N101" s="96">
        <f t="shared" ref="N101" si="29">1/M101</f>
        <v>1.0105720310966655</v>
      </c>
      <c r="R101" s="99"/>
      <c r="S101" s="99"/>
      <c r="T101" s="99"/>
      <c r="U101" s="117"/>
      <c r="V101" s="117"/>
      <c r="W101" s="99"/>
      <c r="X101" s="99"/>
      <c r="Y101" s="99"/>
    </row>
    <row r="102" spans="1:27">
      <c r="A102" s="295" t="s">
        <v>5548</v>
      </c>
      <c r="B102" s="295" t="s">
        <v>4233</v>
      </c>
      <c r="C102" s="297">
        <f>723.5*N76</f>
        <v>682.98399999999992</v>
      </c>
      <c r="D102" s="295">
        <v>4758</v>
      </c>
      <c r="E102" s="298" t="s">
        <v>4521</v>
      </c>
      <c r="F102" s="49">
        <v>2830.4</v>
      </c>
      <c r="G102" s="295">
        <f t="shared" si="26"/>
        <v>1131.6746314121931</v>
      </c>
      <c r="H102" s="192">
        <f t="shared" si="27"/>
        <v>0.2413029960429621</v>
      </c>
      <c r="I102" s="296">
        <f t="shared" si="28"/>
        <v>4.1441673597038884</v>
      </c>
      <c r="J102" s="99" t="s">
        <v>749</v>
      </c>
      <c r="M102" s="300">
        <f>H112/H106</f>
        <v>1.0655394919062786</v>
      </c>
      <c r="N102">
        <f>1/M102</f>
        <v>0.9384917289278254</v>
      </c>
      <c r="R102" s="99"/>
      <c r="S102" s="99"/>
      <c r="T102" s="99"/>
      <c r="U102" s="117">
        <v>159900000</v>
      </c>
      <c r="V102" s="117"/>
      <c r="W102" s="99"/>
      <c r="X102" s="99"/>
      <c r="Y102" s="95">
        <f>SUM(Y95:Y99)</f>
        <v>324807439</v>
      </c>
    </row>
    <row r="103" spans="1:27">
      <c r="A103" s="295" t="s">
        <v>5548</v>
      </c>
      <c r="B103" s="295" t="s">
        <v>4233</v>
      </c>
      <c r="C103" s="297">
        <f>723.5*N76</f>
        <v>682.98399999999992</v>
      </c>
      <c r="D103" s="295">
        <v>112916</v>
      </c>
      <c r="E103" s="292" t="s">
        <v>4383</v>
      </c>
      <c r="F103" s="293">
        <v>9036.6</v>
      </c>
      <c r="G103" s="295">
        <f t="shared" si="26"/>
        <v>8411.9248565477883</v>
      </c>
      <c r="H103" s="296">
        <f t="shared" si="27"/>
        <v>7.5579753447092918E-2</v>
      </c>
      <c r="I103" s="296">
        <f t="shared" si="28"/>
        <v>13.23105665725698</v>
      </c>
      <c r="J103" s="99" t="s">
        <v>452</v>
      </c>
      <c r="M103" s="96"/>
      <c r="N103" s="96"/>
      <c r="R103" s="99"/>
      <c r="S103" s="99"/>
      <c r="T103" s="99"/>
      <c r="U103" s="117"/>
      <c r="V103" s="117"/>
      <c r="W103" s="99"/>
      <c r="X103" s="99"/>
      <c r="Y103" s="99"/>
    </row>
    <row r="104" spans="1:27">
      <c r="A104" s="295" t="s">
        <v>5548</v>
      </c>
      <c r="B104" s="295" t="s">
        <v>4233</v>
      </c>
      <c r="C104" s="297">
        <f>723.5*N76</f>
        <v>682.98399999999992</v>
      </c>
      <c r="D104" s="295">
        <v>23940</v>
      </c>
      <c r="E104" s="62" t="s">
        <v>4379</v>
      </c>
      <c r="F104" s="51">
        <v>8536.2000000000007</v>
      </c>
      <c r="G104" s="295">
        <f t="shared" si="26"/>
        <v>1888.0110097731092</v>
      </c>
      <c r="H104" s="296">
        <f t="shared" si="27"/>
        <v>8.0010309036807933E-2</v>
      </c>
      <c r="I104" s="296">
        <f t="shared" si="28"/>
        <v>12.498389420542797</v>
      </c>
      <c r="J104" s="99" t="s">
        <v>452</v>
      </c>
      <c r="R104" s="99"/>
      <c r="S104" s="99"/>
      <c r="T104" s="99"/>
      <c r="U104" s="99"/>
      <c r="V104" s="99"/>
      <c r="W104" s="99"/>
      <c r="X104" s="99"/>
      <c r="Y104" s="99"/>
    </row>
    <row r="105" spans="1:27">
      <c r="A105" s="295" t="s">
        <v>5553</v>
      </c>
      <c r="B105" s="295" t="s">
        <v>4233</v>
      </c>
      <c r="C105" s="297">
        <f>753.1*N76</f>
        <v>710.92639999999994</v>
      </c>
      <c r="D105" s="295">
        <v>31210</v>
      </c>
      <c r="E105" s="292" t="s">
        <v>4383</v>
      </c>
      <c r="F105" s="293">
        <v>8938</v>
      </c>
      <c r="G105" s="295">
        <f t="shared" si="26"/>
        <v>2446.8789725960669</v>
      </c>
      <c r="H105" s="296">
        <f t="shared" ref="H105" si="30">C105/F105</f>
        <v>7.9539762810472134E-2</v>
      </c>
      <c r="I105" s="296">
        <f t="shared" ref="I105" si="31">F105/C105</f>
        <v>12.572328162240144</v>
      </c>
      <c r="J105" s="99" t="s">
        <v>452</v>
      </c>
      <c r="R105" s="99"/>
      <c r="S105" s="99"/>
      <c r="T105" s="99"/>
      <c r="U105" s="99"/>
      <c r="V105" s="99"/>
      <c r="W105" s="99"/>
      <c r="X105" s="99"/>
      <c r="Y105" s="99"/>
    </row>
    <row r="106" spans="1:27">
      <c r="A106" s="295" t="s">
        <v>5553</v>
      </c>
      <c r="B106" s="295" t="s">
        <v>4233</v>
      </c>
      <c r="C106" s="297">
        <f>753.1*N76</f>
        <v>710.92639999999994</v>
      </c>
      <c r="D106" s="295">
        <v>94101</v>
      </c>
      <c r="E106" s="62" t="s">
        <v>4379</v>
      </c>
      <c r="F106" s="51">
        <v>8497.4</v>
      </c>
      <c r="G106" s="295">
        <f t="shared" ref="G106:G109" si="32">C106*D106*0.99025/(F106*1.0046399)</f>
        <v>7760.0987306690749</v>
      </c>
      <c r="H106" s="208">
        <f t="shared" ref="H106:H109" si="33">C106/F106</f>
        <v>8.3663991338527074E-2</v>
      </c>
      <c r="I106" s="296">
        <f t="shared" ref="I106:I109" si="34">F106/C106</f>
        <v>11.952573430948689</v>
      </c>
      <c r="J106" s="99" t="s">
        <v>452</v>
      </c>
    </row>
    <row r="107" spans="1:27">
      <c r="A107" s="295" t="s">
        <v>5553</v>
      </c>
      <c r="B107" s="295" t="s">
        <v>4233</v>
      </c>
      <c r="C107" s="297">
        <f>751.5*N76</f>
        <v>709.41599999999994</v>
      </c>
      <c r="D107" s="295">
        <v>61303</v>
      </c>
      <c r="E107" s="62" t="s">
        <v>4379</v>
      </c>
      <c r="F107" s="51">
        <v>8558.9</v>
      </c>
      <c r="G107" s="295">
        <f t="shared" si="32"/>
        <v>5008.4020404146831</v>
      </c>
      <c r="H107" s="296">
        <f t="shared" si="33"/>
        <v>8.2886352218158876E-2</v>
      </c>
      <c r="I107" s="296">
        <f t="shared" si="34"/>
        <v>12.064712383143318</v>
      </c>
      <c r="J107" s="99" t="s">
        <v>749</v>
      </c>
    </row>
    <row r="108" spans="1:27">
      <c r="A108" s="295" t="s">
        <v>5557</v>
      </c>
      <c r="B108" s="295" t="s">
        <v>4233</v>
      </c>
      <c r="C108" s="297">
        <f>785.6*N76</f>
        <v>741.60640000000001</v>
      </c>
      <c r="D108" s="295">
        <v>10000</v>
      </c>
      <c r="E108" s="292" t="s">
        <v>4383</v>
      </c>
      <c r="F108" s="293">
        <v>9000</v>
      </c>
      <c r="G108" s="295">
        <f t="shared" si="32"/>
        <v>812.20449414539269</v>
      </c>
      <c r="H108" s="296">
        <f t="shared" si="33"/>
        <v>8.2400711111111108E-2</v>
      </c>
      <c r="I108" s="296">
        <f t="shared" si="34"/>
        <v>12.135817598122131</v>
      </c>
      <c r="J108" s="99" t="s">
        <v>452</v>
      </c>
      <c r="L108" t="s">
        <v>25</v>
      </c>
      <c r="M108" t="s">
        <v>25</v>
      </c>
      <c r="R108" s="99" t="s">
        <v>749</v>
      </c>
      <c r="S108" s="99"/>
      <c r="T108" s="99"/>
      <c r="U108" s="99"/>
      <c r="V108" s="99"/>
      <c r="W108" s="99" t="s">
        <v>1232</v>
      </c>
      <c r="X108" s="99" t="s">
        <v>938</v>
      </c>
      <c r="Y108" s="69" t="s">
        <v>5540</v>
      </c>
      <c r="Z108" t="s">
        <v>25</v>
      </c>
    </row>
    <row r="109" spans="1:27">
      <c r="A109" s="295" t="s">
        <v>5571</v>
      </c>
      <c r="B109" s="295" t="s">
        <v>4233</v>
      </c>
      <c r="C109" s="297">
        <v>919.8</v>
      </c>
      <c r="D109" s="295">
        <v>100000</v>
      </c>
      <c r="E109" s="221" t="s">
        <v>4383</v>
      </c>
      <c r="F109" s="220">
        <v>10640</v>
      </c>
      <c r="G109" s="295">
        <f t="shared" si="32"/>
        <v>8520.9144668599529</v>
      </c>
      <c r="H109" s="296">
        <f t="shared" si="33"/>
        <v>8.6447368421052634E-2</v>
      </c>
      <c r="I109" s="296">
        <f t="shared" si="34"/>
        <v>11.567732115677321</v>
      </c>
      <c r="J109" s="99" t="s">
        <v>452</v>
      </c>
      <c r="R109" s="99"/>
      <c r="S109" s="99" t="s">
        <v>4383</v>
      </c>
      <c r="T109" s="99">
        <v>4279</v>
      </c>
      <c r="U109" s="117">
        <v>32796123</v>
      </c>
      <c r="V109" s="117">
        <f>U109/T109</f>
        <v>7664.436316896471</v>
      </c>
      <c r="W109" s="117">
        <f>V109*1.01</f>
        <v>7741.0806800654354</v>
      </c>
      <c r="X109" s="99">
        <f>X95</f>
        <v>12522</v>
      </c>
      <c r="Y109" s="99">
        <f>T109*X109</f>
        <v>53581638</v>
      </c>
    </row>
    <row r="110" spans="1:27">
      <c r="A110" s="295" t="s">
        <v>5408</v>
      </c>
      <c r="B110" s="295" t="s">
        <v>4233</v>
      </c>
      <c r="C110" s="297">
        <v>1100</v>
      </c>
      <c r="D110" s="295">
        <v>300000</v>
      </c>
      <c r="E110" s="221" t="s">
        <v>4383</v>
      </c>
      <c r="F110" s="220">
        <v>12513</v>
      </c>
      <c r="G110" s="295">
        <f t="shared" ref="G110" si="35">C110*D110*0.99025/(F110*1.0046399)</f>
        <v>25994.826546765507</v>
      </c>
      <c r="H110" s="296">
        <f t="shared" ref="H110" si="36">C110/F110</f>
        <v>8.7908575081914811E-2</v>
      </c>
      <c r="I110" s="296">
        <f t="shared" ref="I110" si="37">F110/C110</f>
        <v>11.375454545454545</v>
      </c>
      <c r="J110" s="99" t="s">
        <v>749</v>
      </c>
      <c r="L110" t="s">
        <v>25</v>
      </c>
      <c r="R110" s="99"/>
      <c r="S110" s="99" t="s">
        <v>4397</v>
      </c>
      <c r="T110" s="99">
        <v>70500</v>
      </c>
      <c r="U110" s="117">
        <v>100609967</v>
      </c>
      <c r="V110" s="117">
        <f t="shared" ref="V110:V111" si="38">U110/T110</f>
        <v>1427.0917304964539</v>
      </c>
      <c r="W110" s="117">
        <f t="shared" ref="W110:W111" si="39">V110*1.01</f>
        <v>1441.3626478014185</v>
      </c>
      <c r="X110" s="99">
        <f>X97</f>
        <v>1657</v>
      </c>
      <c r="Y110" s="99">
        <f t="shared" ref="Y110:Y112" si="40">T110*X110</f>
        <v>116818500</v>
      </c>
    </row>
    <row r="111" spans="1:27">
      <c r="A111" s="295" t="s">
        <v>5408</v>
      </c>
      <c r="B111" s="295" t="s">
        <v>4233</v>
      </c>
      <c r="C111" s="297">
        <v>1100</v>
      </c>
      <c r="D111" s="295">
        <v>700000</v>
      </c>
      <c r="E111" s="221" t="s">
        <v>4383</v>
      </c>
      <c r="F111" s="220">
        <v>12494</v>
      </c>
      <c r="G111" s="295">
        <f>C111*D111*0.99025/(F111*1.0046399)</f>
        <v>60746.834535450012</v>
      </c>
      <c r="H111" s="219">
        <f>C111/F111</f>
        <v>8.8042260284936766E-2</v>
      </c>
      <c r="I111" s="296">
        <f>F111/C111</f>
        <v>11.358181818181817</v>
      </c>
      <c r="J111" s="99" t="s">
        <v>452</v>
      </c>
      <c r="R111" s="99"/>
      <c r="S111" s="99" t="s">
        <v>4233</v>
      </c>
      <c r="T111" s="99">
        <v>12936</v>
      </c>
      <c r="U111" s="117">
        <v>6322162</v>
      </c>
      <c r="V111" s="117">
        <f t="shared" si="38"/>
        <v>488.72619047619048</v>
      </c>
      <c r="W111" s="117">
        <f t="shared" si="39"/>
        <v>493.61345238095237</v>
      </c>
      <c r="X111" s="99">
        <f>X96</f>
        <v>1044.7</v>
      </c>
      <c r="Y111" s="99">
        <f t="shared" si="40"/>
        <v>13514239.200000001</v>
      </c>
    </row>
    <row r="112" spans="1:27">
      <c r="A112" s="295" t="s">
        <v>5584</v>
      </c>
      <c r="B112" s="295" t="s">
        <v>4233</v>
      </c>
      <c r="C112" s="297">
        <f>C113</f>
        <v>1150</v>
      </c>
      <c r="D112" s="295"/>
      <c r="E112" s="62" t="s">
        <v>4379</v>
      </c>
      <c r="F112" s="51">
        <v>12900</v>
      </c>
      <c r="G112" s="295">
        <f>C112*D112*0.99025/(F112*1.0046399)</f>
        <v>0</v>
      </c>
      <c r="H112" s="296">
        <f>C112/F112</f>
        <v>8.9147286821705432E-2</v>
      </c>
      <c r="I112" s="296">
        <f>F112/C112</f>
        <v>11.217391304347826</v>
      </c>
      <c r="J112" s="99"/>
      <c r="R112" s="99"/>
      <c r="S112" s="99" t="s">
        <v>5401</v>
      </c>
      <c r="T112" s="99">
        <v>4687</v>
      </c>
      <c r="U112" s="117">
        <v>1911597</v>
      </c>
      <c r="V112" s="117">
        <f>U112/T112</f>
        <v>407.85086409216984</v>
      </c>
      <c r="W112" s="117">
        <f>V112*1.01</f>
        <v>411.92937273309155</v>
      </c>
      <c r="X112" s="99">
        <f>X98</f>
        <v>945.2</v>
      </c>
      <c r="Y112" s="99">
        <f t="shared" si="40"/>
        <v>4430152.4000000004</v>
      </c>
    </row>
    <row r="113" spans="1:25">
      <c r="A113" s="295" t="s">
        <v>5584</v>
      </c>
      <c r="B113" s="295" t="s">
        <v>4233</v>
      </c>
      <c r="C113" s="297">
        <v>1150</v>
      </c>
      <c r="D113" s="295"/>
      <c r="E113" s="221" t="s">
        <v>4383</v>
      </c>
      <c r="F113" s="220">
        <v>13200</v>
      </c>
      <c r="G113" s="295">
        <f t="shared" ref="G113:G115" si="41">C113*D113*0.99025/(F113*1.0046399)</f>
        <v>0</v>
      </c>
      <c r="H113" s="296">
        <f t="shared" ref="H113:H115" si="42">C113/F113</f>
        <v>8.7121212121212127E-2</v>
      </c>
      <c r="I113" s="296">
        <f t="shared" ref="I113:I115" si="43">F113/C113</f>
        <v>11.478260869565217</v>
      </c>
      <c r="J113" s="99"/>
      <c r="R113" s="99" t="s">
        <v>5505</v>
      </c>
      <c r="S113" s="99" t="s">
        <v>4553</v>
      </c>
      <c r="T113" s="99">
        <v>0</v>
      </c>
      <c r="U113" s="117">
        <v>180438</v>
      </c>
      <c r="V113" s="117"/>
      <c r="W113" s="117"/>
      <c r="X113" s="99">
        <f>X99</f>
        <v>850</v>
      </c>
      <c r="Y113" s="95">
        <f>U113</f>
        <v>180438</v>
      </c>
    </row>
    <row r="114" spans="1:25">
      <c r="A114" s="295"/>
      <c r="B114" s="295"/>
      <c r="C114" s="297">
        <v>1</v>
      </c>
      <c r="D114" s="295"/>
      <c r="E114" s="221"/>
      <c r="F114" s="220">
        <v>1</v>
      </c>
      <c r="G114" s="295">
        <f>C114*D114*0.99025/(F114*1.0046399)</f>
        <v>0</v>
      </c>
      <c r="H114" s="296">
        <f t="shared" si="42"/>
        <v>1</v>
      </c>
      <c r="I114" s="296">
        <f t="shared" si="43"/>
        <v>1</v>
      </c>
      <c r="J114" s="99"/>
      <c r="R114" s="99"/>
      <c r="S114" s="99"/>
      <c r="T114" s="99"/>
      <c r="U114" s="117"/>
      <c r="V114" s="117"/>
      <c r="W114" s="117"/>
      <c r="X114" s="99"/>
      <c r="Y114" s="99"/>
    </row>
    <row r="115" spans="1:25" ht="83.25" customHeight="1">
      <c r="A115" s="87"/>
      <c r="B115" s="99"/>
      <c r="C115" s="113">
        <v>1</v>
      </c>
      <c r="D115" s="87"/>
      <c r="E115" s="99"/>
      <c r="F115" s="113">
        <v>1</v>
      </c>
      <c r="G115" s="295">
        <f t="shared" si="41"/>
        <v>0</v>
      </c>
      <c r="H115" s="296">
        <f t="shared" si="42"/>
        <v>1</v>
      </c>
      <c r="I115" s="296">
        <f t="shared" si="43"/>
        <v>1</v>
      </c>
      <c r="J115" s="99"/>
      <c r="K115" t="s">
        <v>25</v>
      </c>
      <c r="R115" s="99"/>
      <c r="S115" s="99"/>
      <c r="T115" s="99"/>
      <c r="U115" s="117">
        <v>141800000</v>
      </c>
      <c r="V115" s="117"/>
      <c r="W115" s="117"/>
      <c r="X115" s="99"/>
      <c r="Y115" s="95">
        <f>SUM(Y109:Y113)</f>
        <v>188524967.59999999</v>
      </c>
    </row>
    <row r="116" spans="1:25">
      <c r="D116" t="s">
        <v>25</v>
      </c>
      <c r="G116" t="s">
        <v>25</v>
      </c>
    </row>
    <row r="118" spans="1:25">
      <c r="H118" t="s">
        <v>25</v>
      </c>
      <c r="W118" t="s">
        <v>5541</v>
      </c>
      <c r="X118" s="114">
        <f>Y102+Y115-U102-U115</f>
        <v>211632406.60000002</v>
      </c>
    </row>
    <row r="120" spans="1:25" ht="21">
      <c r="D120" s="283"/>
      <c r="I120" t="s">
        <v>25</v>
      </c>
    </row>
    <row r="121" spans="1:25">
      <c r="I121" t="s">
        <v>25</v>
      </c>
    </row>
    <row r="122" spans="1:25">
      <c r="B122" s="96"/>
      <c r="C122" s="96"/>
      <c r="D122" s="96"/>
      <c r="E122" s="96"/>
      <c r="F122" s="96"/>
      <c r="G122" s="96"/>
      <c r="H122" s="96"/>
      <c r="I122" s="96"/>
      <c r="J122" s="96"/>
    </row>
    <row r="123" spans="1:25">
      <c r="B123" s="96"/>
      <c r="C123" s="96"/>
      <c r="D123" s="96"/>
      <c r="E123" s="96"/>
      <c r="F123" s="96"/>
      <c r="G123" s="96"/>
      <c r="H123" s="96"/>
      <c r="I123" s="96"/>
      <c r="J123" s="96"/>
    </row>
    <row r="124" spans="1:25">
      <c r="B124" s="96"/>
      <c r="C124" s="96"/>
      <c r="D124" s="96"/>
      <c r="E124" s="96"/>
      <c r="F124" s="96"/>
      <c r="G124" s="96"/>
      <c r="H124" s="96"/>
      <c r="I124" s="96"/>
      <c r="J124" s="96"/>
      <c r="N124" t="s">
        <v>25</v>
      </c>
      <c r="O124" t="s">
        <v>25</v>
      </c>
    </row>
    <row r="125" spans="1:25">
      <c r="B125" s="96"/>
      <c r="C125" s="96"/>
      <c r="D125" s="96"/>
      <c r="E125" s="96"/>
      <c r="F125" s="96"/>
      <c r="G125" s="96"/>
      <c r="H125" s="96"/>
      <c r="I125" s="96"/>
      <c r="J125" s="96"/>
      <c r="N125" t="s">
        <v>25</v>
      </c>
    </row>
    <row r="126" spans="1:25">
      <c r="B126" s="96"/>
      <c r="C126" s="96"/>
      <c r="D126" s="96"/>
      <c r="E126" s="96"/>
      <c r="F126" s="96"/>
      <c r="G126" s="96"/>
      <c r="H126" s="96"/>
      <c r="I126" s="96"/>
      <c r="J126" s="96" t="s">
        <v>25</v>
      </c>
    </row>
    <row r="127" spans="1:25">
      <c r="B127" s="96"/>
      <c r="C127" s="96"/>
      <c r="D127" s="96"/>
      <c r="E127" s="96"/>
      <c r="F127" s="96"/>
      <c r="G127" s="96"/>
      <c r="H127" s="96"/>
      <c r="I127" s="96"/>
      <c r="J127" s="96"/>
    </row>
    <row r="128" spans="1:25">
      <c r="B128" s="96"/>
      <c r="C128" s="96"/>
      <c r="D128" s="96"/>
      <c r="E128" s="96"/>
      <c r="F128" s="96"/>
      <c r="G128" s="96"/>
      <c r="H128" s="96"/>
      <c r="I128" s="96"/>
      <c r="J128" s="96"/>
    </row>
    <row r="129" spans="1:14">
      <c r="B129" s="96"/>
      <c r="C129" s="96"/>
      <c r="D129" s="96"/>
      <c r="E129" s="96"/>
      <c r="F129" s="96"/>
      <c r="G129" s="96"/>
      <c r="H129" s="96"/>
      <c r="I129" s="96"/>
      <c r="J129" s="96"/>
    </row>
    <row r="130" spans="1:14">
      <c r="B130" s="96"/>
      <c r="C130" s="96"/>
      <c r="D130" s="96"/>
      <c r="E130" s="96"/>
      <c r="F130" s="96"/>
      <c r="G130" s="96"/>
      <c r="H130" s="96"/>
      <c r="I130" s="96"/>
      <c r="J130" s="96"/>
      <c r="N130" t="s">
        <v>25</v>
      </c>
    </row>
    <row r="131" spans="1:14">
      <c r="B131" s="96"/>
      <c r="C131" s="96"/>
      <c r="D131" s="96"/>
      <c r="E131" s="96"/>
      <c r="F131" s="96"/>
      <c r="G131" s="96"/>
      <c r="H131" s="96"/>
      <c r="I131" s="96"/>
      <c r="J131" s="96"/>
    </row>
    <row r="132" spans="1:14">
      <c r="B132" s="96"/>
      <c r="C132" s="96"/>
      <c r="D132" s="96"/>
      <c r="E132" s="96"/>
      <c r="F132" s="96"/>
      <c r="G132" s="96"/>
      <c r="H132" s="96"/>
      <c r="I132" s="96"/>
      <c r="J132" s="96"/>
    </row>
    <row r="133" spans="1:14">
      <c r="B133" s="96"/>
      <c r="C133" s="96"/>
      <c r="D133" s="96"/>
      <c r="E133" s="96"/>
      <c r="F133" s="96"/>
      <c r="G133" s="96"/>
      <c r="H133" s="96"/>
      <c r="I133" s="96"/>
      <c r="J133" s="96"/>
    </row>
    <row r="134" spans="1:14">
      <c r="B134" s="96"/>
      <c r="C134" s="96"/>
      <c r="D134" s="96"/>
      <c r="E134" s="96"/>
      <c r="F134" s="96"/>
      <c r="G134" s="96"/>
      <c r="H134" s="96"/>
      <c r="I134" s="96"/>
      <c r="J134" s="96"/>
    </row>
    <row r="135" spans="1:14">
      <c r="B135" s="96"/>
      <c r="C135" s="96"/>
      <c r="D135" s="96"/>
      <c r="E135" s="96"/>
      <c r="F135" s="96"/>
      <c r="G135" s="96"/>
      <c r="H135" s="96"/>
      <c r="I135" s="96"/>
      <c r="J135" s="96"/>
    </row>
    <row r="136" spans="1:14">
      <c r="B136" s="96"/>
      <c r="C136" s="96"/>
      <c r="D136" s="96"/>
      <c r="E136" s="96"/>
      <c r="F136" s="96"/>
      <c r="G136" s="96"/>
      <c r="H136" s="96"/>
      <c r="I136" s="96"/>
      <c r="J136" s="96"/>
    </row>
    <row r="137" spans="1:14">
      <c r="B137" s="96"/>
      <c r="C137" s="96"/>
      <c r="D137" s="96"/>
      <c r="E137" s="96"/>
      <c r="F137" s="96"/>
      <c r="G137" s="96"/>
      <c r="H137" s="96"/>
      <c r="I137" s="96"/>
      <c r="J137" s="96"/>
    </row>
    <row r="143" spans="1:14">
      <c r="I143" t="s">
        <v>25</v>
      </c>
    </row>
    <row r="144" spans="1:14">
      <c r="A144" s="96"/>
      <c r="B144" s="96"/>
      <c r="C144" s="96"/>
      <c r="D144" s="96"/>
      <c r="E144" s="96"/>
      <c r="F144" s="96"/>
      <c r="G144" s="96"/>
      <c r="H144" s="96"/>
      <c r="I144" s="96"/>
      <c r="J144" s="96"/>
    </row>
    <row r="145" spans="1:10">
      <c r="A145" s="96"/>
      <c r="B145" s="96"/>
      <c r="C145" s="96"/>
      <c r="D145" s="96"/>
      <c r="E145" s="96"/>
      <c r="F145" s="96"/>
      <c r="G145" s="96"/>
      <c r="H145" s="96"/>
      <c r="I145" s="96"/>
      <c r="J145" s="96"/>
    </row>
    <row r="146" spans="1:10">
      <c r="A146" s="96"/>
      <c r="B146" s="96"/>
      <c r="C146" s="96"/>
      <c r="D146" s="96"/>
      <c r="E146" s="96"/>
      <c r="F146" s="96"/>
      <c r="G146" s="96"/>
      <c r="H146" s="96"/>
      <c r="I146" s="96"/>
      <c r="J146" s="96"/>
    </row>
    <row r="147" spans="1:10">
      <c r="A147" s="96"/>
      <c r="B147" s="96"/>
      <c r="C147" s="96"/>
      <c r="D147" s="96"/>
      <c r="E147" s="96"/>
      <c r="F147" s="96"/>
      <c r="G147" s="96"/>
      <c r="H147" s="96"/>
      <c r="I147" s="96"/>
      <c r="J147" s="96"/>
    </row>
    <row r="148" spans="1:10">
      <c r="A148" s="96"/>
      <c r="B148" s="96"/>
      <c r="C148" s="96"/>
      <c r="D148" s="96"/>
      <c r="E148" s="96"/>
      <c r="F148" s="96"/>
      <c r="G148" s="96"/>
      <c r="H148" s="96"/>
      <c r="I148" s="96"/>
      <c r="J148" s="96"/>
    </row>
    <row r="149" spans="1:10">
      <c r="A149" s="96"/>
      <c r="B149" s="96"/>
      <c r="C149" s="96"/>
      <c r="D149" s="96"/>
      <c r="E149" s="96"/>
      <c r="F149" s="96"/>
      <c r="G149" s="96"/>
      <c r="H149" s="96"/>
      <c r="I149" s="96"/>
      <c r="J149" s="96"/>
    </row>
    <row r="150" spans="1:10">
      <c r="A150" s="96"/>
      <c r="B150" s="96"/>
      <c r="C150" s="96"/>
      <c r="D150" s="96"/>
      <c r="E150" s="96"/>
      <c r="F150" s="96"/>
      <c r="G150" s="96"/>
      <c r="H150" s="96"/>
      <c r="I150" s="96"/>
      <c r="J150" s="96"/>
    </row>
    <row r="151" spans="1:10">
      <c r="A151" s="96"/>
      <c r="B151" s="96"/>
      <c r="C151" s="96"/>
      <c r="D151" s="96"/>
      <c r="E151" s="96"/>
      <c r="F151" s="96"/>
      <c r="G151" s="96"/>
      <c r="H151" s="96"/>
      <c r="I151" s="96"/>
      <c r="J151" s="96"/>
    </row>
    <row r="152" spans="1:10">
      <c r="A152" s="96"/>
      <c r="B152" s="96"/>
      <c r="C152" s="96"/>
      <c r="D152" s="96"/>
      <c r="E152" s="96"/>
      <c r="F152" s="96"/>
      <c r="G152" s="96"/>
      <c r="H152" s="96"/>
      <c r="I152" s="96"/>
      <c r="J152" s="96"/>
    </row>
    <row r="153" spans="1:10">
      <c r="A153" s="96"/>
      <c r="B153" s="96"/>
      <c r="C153" s="96"/>
      <c r="D153" s="96"/>
      <c r="E153" s="96"/>
      <c r="F153" s="96"/>
      <c r="G153" s="96"/>
      <c r="H153" s="96"/>
      <c r="I153" s="96"/>
      <c r="J153" s="96"/>
    </row>
    <row r="154" spans="1:10">
      <c r="A154" s="96"/>
      <c r="B154" s="96"/>
      <c r="C154" s="96"/>
      <c r="D154" s="96"/>
      <c r="E154" s="96"/>
      <c r="F154" s="96"/>
      <c r="G154" s="96"/>
      <c r="H154" s="96"/>
      <c r="I154" s="96"/>
      <c r="J154" s="96"/>
    </row>
    <row r="155" spans="1:10">
      <c r="A155" s="96"/>
      <c r="B155" s="96"/>
      <c r="C155" s="96"/>
      <c r="D155" s="96"/>
      <c r="E155" s="96"/>
      <c r="F155" s="96"/>
      <c r="G155" s="96"/>
      <c r="H155" s="96"/>
      <c r="I155" s="96"/>
      <c r="J155" s="96"/>
    </row>
    <row r="156" spans="1:10">
      <c r="A156" s="96"/>
      <c r="B156" s="96"/>
      <c r="C156" s="96"/>
      <c r="D156" s="96"/>
      <c r="E156" s="96"/>
      <c r="F156" s="96"/>
      <c r="G156" s="96"/>
      <c r="H156" s="96"/>
      <c r="I156" s="96"/>
      <c r="J156" s="96"/>
    </row>
    <row r="157" spans="1:10">
      <c r="A157" s="96"/>
      <c r="B157" s="96"/>
      <c r="C157" s="96"/>
      <c r="D157" s="96"/>
      <c r="E157" s="96"/>
      <c r="F157" s="96"/>
      <c r="G157" s="96"/>
      <c r="H157" s="96"/>
      <c r="I157" s="96"/>
      <c r="J157" s="96"/>
    </row>
    <row r="158" spans="1:10">
      <c r="A158" s="96"/>
      <c r="B158" s="96"/>
      <c r="C158" s="96"/>
      <c r="D158" s="96"/>
      <c r="E158" s="96"/>
      <c r="F158" s="96"/>
      <c r="G158" s="96"/>
      <c r="H158" s="96"/>
      <c r="I158" s="96"/>
      <c r="J158" s="96"/>
    </row>
    <row r="159" spans="1:10">
      <c r="A159" s="96"/>
      <c r="B159" s="96"/>
      <c r="C159" s="96"/>
      <c r="D159" s="96"/>
      <c r="E159" s="96"/>
      <c r="F159" s="96"/>
      <c r="G159" s="96"/>
      <c r="H159" s="96"/>
      <c r="I159" s="96"/>
      <c r="J159" s="96"/>
    </row>
    <row r="160" spans="1:10">
      <c r="A160" s="96"/>
      <c r="B160" s="96"/>
      <c r="C160" s="96"/>
      <c r="D160" s="96"/>
      <c r="E160" s="96"/>
      <c r="F160" s="96"/>
      <c r="G160" s="96"/>
      <c r="H160" s="96"/>
      <c r="I160" s="96"/>
      <c r="J160" s="96"/>
    </row>
    <row r="161" spans="8:9">
      <c r="H161" t="s">
        <v>25</v>
      </c>
    </row>
    <row r="162" spans="8:9">
      <c r="H162" t="s">
        <v>25</v>
      </c>
    </row>
    <row r="165" spans="8:9">
      <c r="I165" t="s">
        <v>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8"/>
  <sheetViews>
    <sheetView topLeftCell="I313" zoomScale="85" zoomScaleNormal="85" workbookViewId="0">
      <selection activeCell="K335" sqref="K335"/>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4419</v>
      </c>
      <c r="C1" s="168" t="s">
        <v>4290</v>
      </c>
      <c r="D1" s="168" t="s">
        <v>180</v>
      </c>
      <c r="J1" s="168" t="s">
        <v>3637</v>
      </c>
      <c r="K1" s="168" t="s">
        <v>180</v>
      </c>
      <c r="L1" s="168" t="s">
        <v>4470</v>
      </c>
      <c r="M1" s="168" t="s">
        <v>934</v>
      </c>
      <c r="N1" s="56" t="s">
        <v>937</v>
      </c>
      <c r="O1" s="99" t="s">
        <v>8</v>
      </c>
    </row>
    <row r="2" spans="1:20">
      <c r="A2" s="99" t="s">
        <v>4233</v>
      </c>
      <c r="B2" s="203">
        <v>1707</v>
      </c>
      <c r="C2" s="204" t="s">
        <v>4591</v>
      </c>
      <c r="D2" s="99" t="s">
        <v>4485</v>
      </c>
      <c r="J2" s="168">
        <v>1</v>
      </c>
      <c r="K2" s="168" t="s">
        <v>4276</v>
      </c>
      <c r="L2" s="113">
        <v>4270000</v>
      </c>
      <c r="M2" s="168">
        <v>10</v>
      </c>
      <c r="N2" s="113">
        <f>L2*M2</f>
        <v>42700000</v>
      </c>
      <c r="O2" s="99" t="s">
        <v>749</v>
      </c>
    </row>
    <row r="3" spans="1:20">
      <c r="A3" s="99" t="s">
        <v>4566</v>
      </c>
      <c r="B3" s="203">
        <v>1184</v>
      </c>
      <c r="C3" s="204" t="s">
        <v>4572</v>
      </c>
      <c r="D3" s="99"/>
      <c r="J3" s="168">
        <v>2</v>
      </c>
      <c r="K3" s="168" t="s">
        <v>4481</v>
      </c>
      <c r="L3" s="113">
        <v>3845000</v>
      </c>
      <c r="M3" s="168">
        <v>4</v>
      </c>
      <c r="N3" s="113">
        <f>L3*M3</f>
        <v>15380000</v>
      </c>
      <c r="O3" s="99" t="s">
        <v>452</v>
      </c>
    </row>
    <row r="4" spans="1:20">
      <c r="A4" s="99" t="s">
        <v>4567</v>
      </c>
      <c r="B4" s="203">
        <v>1804</v>
      </c>
      <c r="C4" s="204" t="s">
        <v>4573</v>
      </c>
      <c r="D4" s="99"/>
      <c r="F4" t="s">
        <v>25</v>
      </c>
      <c r="J4" s="168">
        <v>3</v>
      </c>
      <c r="K4" s="168" t="s">
        <v>4221</v>
      </c>
      <c r="L4" s="113">
        <v>3390000</v>
      </c>
      <c r="M4" s="168">
        <v>2</v>
      </c>
      <c r="N4" s="113">
        <f>L4*M4</f>
        <v>6780000</v>
      </c>
      <c r="O4" s="99" t="s">
        <v>749</v>
      </c>
    </row>
    <row r="5" spans="1:20">
      <c r="A5" s="99"/>
      <c r="B5" s="203"/>
      <c r="C5" s="204"/>
      <c r="D5" s="99"/>
      <c r="J5" s="219">
        <v>4</v>
      </c>
      <c r="K5" s="219" t="s">
        <v>4597</v>
      </c>
      <c r="L5" s="220">
        <v>0</v>
      </c>
      <c r="M5" s="219">
        <v>3</v>
      </c>
      <c r="N5" s="220">
        <f t="shared" ref="N5" si="0">L5*M5</f>
        <v>0</v>
      </c>
      <c r="O5" s="221" t="s">
        <v>4601</v>
      </c>
    </row>
    <row r="6" spans="1:20">
      <c r="A6" s="99" t="s">
        <v>1082</v>
      </c>
      <c r="B6" s="203">
        <v>4060000</v>
      </c>
      <c r="C6" s="169">
        <v>4260000</v>
      </c>
      <c r="D6" s="99" t="s">
        <v>4485</v>
      </c>
      <c r="F6" t="s">
        <v>25</v>
      </c>
      <c r="G6" s="96"/>
      <c r="H6" s="96"/>
      <c r="I6" s="96"/>
      <c r="J6" s="168">
        <v>5</v>
      </c>
      <c r="K6" s="168" t="s">
        <v>4602</v>
      </c>
      <c r="L6" s="113">
        <v>4183832</v>
      </c>
      <c r="M6" s="168">
        <v>6</v>
      </c>
      <c r="N6" s="113">
        <v>25071612</v>
      </c>
      <c r="O6" s="99" t="s">
        <v>452</v>
      </c>
      <c r="P6" s="96"/>
      <c r="Q6" s="96"/>
      <c r="R6" s="96"/>
      <c r="S6" s="96"/>
    </row>
    <row r="7" spans="1:20">
      <c r="A7" s="99" t="s">
        <v>4547</v>
      </c>
      <c r="B7" s="203">
        <v>1689</v>
      </c>
      <c r="C7" s="169"/>
      <c r="D7" s="99"/>
      <c r="F7" s="96">
        <v>0</v>
      </c>
      <c r="G7" s="96"/>
      <c r="H7" s="96"/>
      <c r="I7" s="96"/>
      <c r="J7" s="168">
        <v>6</v>
      </c>
      <c r="K7" s="168" t="s">
        <v>4606</v>
      </c>
      <c r="L7" s="113">
        <v>4186993</v>
      </c>
      <c r="M7" s="168">
        <v>4</v>
      </c>
      <c r="N7" s="113">
        <v>16727037</v>
      </c>
      <c r="O7" s="99" t="s">
        <v>749</v>
      </c>
      <c r="P7" s="96"/>
      <c r="Q7" s="96"/>
      <c r="R7" s="96"/>
      <c r="S7" s="96"/>
    </row>
    <row r="8" spans="1:20">
      <c r="A8" s="99" t="s">
        <v>4521</v>
      </c>
      <c r="B8" s="203">
        <v>3414</v>
      </c>
      <c r="C8" s="169">
        <v>3622</v>
      </c>
      <c r="D8" s="99"/>
      <c r="F8">
        <v>0</v>
      </c>
      <c r="G8" s="96"/>
      <c r="H8" s="96"/>
      <c r="I8" s="96"/>
      <c r="J8" s="168">
        <v>7</v>
      </c>
      <c r="K8" s="168" t="s">
        <v>4611</v>
      </c>
      <c r="L8" s="113">
        <v>4223698</v>
      </c>
      <c r="M8" s="168">
        <v>10</v>
      </c>
      <c r="N8" s="113">
        <v>42236984</v>
      </c>
      <c r="O8" s="99" t="s">
        <v>452</v>
      </c>
      <c r="P8" s="96"/>
      <c r="Q8" s="96"/>
      <c r="R8" s="96"/>
      <c r="S8" s="96"/>
    </row>
    <row r="9" spans="1:20">
      <c r="A9" s="99" t="s">
        <v>4562</v>
      </c>
      <c r="B9" s="203">
        <v>1174</v>
      </c>
      <c r="C9" s="169" t="s">
        <v>25</v>
      </c>
      <c r="D9" s="99"/>
      <c r="F9">
        <v>0</v>
      </c>
      <c r="G9" s="96"/>
      <c r="H9" s="96"/>
      <c r="I9" s="96"/>
      <c r="J9" s="168">
        <v>8</v>
      </c>
      <c r="K9" s="168" t="s">
        <v>4611</v>
      </c>
      <c r="L9" s="113">
        <v>4223698</v>
      </c>
      <c r="M9" s="168">
        <v>11</v>
      </c>
      <c r="N9" s="113">
        <v>46460683</v>
      </c>
      <c r="O9" s="99" t="s">
        <v>749</v>
      </c>
      <c r="P9" s="96"/>
      <c r="Q9" s="96"/>
      <c r="R9" s="96"/>
      <c r="S9" s="96"/>
    </row>
    <row r="10" spans="1:20">
      <c r="A10" s="99" t="s">
        <v>4397</v>
      </c>
      <c r="B10" s="203">
        <v>472</v>
      </c>
      <c r="C10" s="169">
        <v>540</v>
      </c>
      <c r="D10" s="99"/>
      <c r="F10">
        <v>0</v>
      </c>
      <c r="G10" s="122"/>
      <c r="H10" s="96"/>
      <c r="I10" s="96"/>
      <c r="J10" s="168">
        <v>9</v>
      </c>
      <c r="K10" s="168" t="s">
        <v>4612</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4612</v>
      </c>
      <c r="L11" s="113">
        <f>N11/M11</f>
        <v>4369699.111111111</v>
      </c>
      <c r="M11" s="168">
        <v>4.5</v>
      </c>
      <c r="N11" s="113">
        <v>19663646</v>
      </c>
      <c r="O11" s="99" t="s">
        <v>452</v>
      </c>
      <c r="P11" s="96"/>
      <c r="Q11" s="96"/>
      <c r="R11" s="96"/>
      <c r="S11" s="96"/>
      <c r="T11" s="96"/>
    </row>
    <row r="12" spans="1:20">
      <c r="A12" s="99" t="s">
        <v>4540</v>
      </c>
      <c r="B12" s="203">
        <v>3965312</v>
      </c>
      <c r="C12" s="169"/>
      <c r="D12" s="59" t="s">
        <v>4841</v>
      </c>
      <c r="F12" s="114">
        <v>0</v>
      </c>
      <c r="J12" s="168">
        <v>11</v>
      </c>
      <c r="K12" s="168" t="s">
        <v>4635</v>
      </c>
      <c r="L12" s="113">
        <v>4374525</v>
      </c>
      <c r="M12" s="168">
        <v>1</v>
      </c>
      <c r="N12" s="113">
        <v>4374525</v>
      </c>
      <c r="O12" s="99" t="s">
        <v>749</v>
      </c>
      <c r="P12" s="96"/>
      <c r="Q12" s="96"/>
      <c r="R12" s="96"/>
      <c r="S12" s="96"/>
    </row>
    <row r="13" spans="1:20">
      <c r="A13" s="99"/>
      <c r="B13" s="203"/>
      <c r="C13" s="169"/>
      <c r="D13" s="99"/>
      <c r="F13" s="114">
        <v>0</v>
      </c>
      <c r="J13" s="168">
        <v>12</v>
      </c>
      <c r="K13" s="168" t="s">
        <v>4635</v>
      </c>
      <c r="L13" s="113">
        <v>4374525</v>
      </c>
      <c r="M13" s="168">
        <v>1</v>
      </c>
      <c r="N13" s="113">
        <v>4374525</v>
      </c>
      <c r="O13" s="99" t="s">
        <v>452</v>
      </c>
      <c r="P13" s="96"/>
      <c r="Q13" s="96"/>
      <c r="R13" s="96"/>
      <c r="S13" s="96"/>
    </row>
    <row r="14" spans="1:20">
      <c r="A14" s="99"/>
      <c r="B14" s="203"/>
      <c r="C14" s="169"/>
      <c r="D14" s="99"/>
      <c r="F14" s="114">
        <v>0</v>
      </c>
      <c r="J14" s="168">
        <v>13</v>
      </c>
      <c r="K14" s="168" t="s">
        <v>4646</v>
      </c>
      <c r="L14" s="169">
        <v>4367053</v>
      </c>
      <c r="M14" s="168">
        <v>1.5</v>
      </c>
      <c r="N14" s="113">
        <v>6550580</v>
      </c>
      <c r="O14" s="99" t="s">
        <v>749</v>
      </c>
    </row>
    <row r="15" spans="1:20">
      <c r="A15" s="99"/>
      <c r="B15" s="203"/>
      <c r="C15" s="169"/>
      <c r="D15" s="99"/>
      <c r="F15" s="114">
        <f>B12+F7+F8+F9+F10+F11+F12+F13+F14</f>
        <v>3965312</v>
      </c>
      <c r="J15" s="168">
        <v>14</v>
      </c>
      <c r="K15" s="168" t="s">
        <v>4646</v>
      </c>
      <c r="L15" s="169">
        <v>4367053</v>
      </c>
      <c r="M15" s="168">
        <v>1.5</v>
      </c>
      <c r="N15" s="113">
        <v>6550580</v>
      </c>
      <c r="O15" s="99" t="s">
        <v>452</v>
      </c>
    </row>
    <row r="16" spans="1:20">
      <c r="A16" s="99"/>
      <c r="B16" s="203"/>
      <c r="C16" s="169"/>
      <c r="D16" s="99"/>
      <c r="J16" s="210">
        <v>15</v>
      </c>
      <c r="K16" s="210" t="s">
        <v>4648</v>
      </c>
      <c r="L16" s="169">
        <v>4433930</v>
      </c>
      <c r="M16" s="210">
        <v>1.5</v>
      </c>
      <c r="N16" s="113">
        <f>L16*M16</f>
        <v>6650895</v>
      </c>
      <c r="O16" s="99" t="s">
        <v>749</v>
      </c>
    </row>
    <row r="17" spans="1:20">
      <c r="A17" s="99"/>
      <c r="J17" s="210">
        <v>16</v>
      </c>
      <c r="K17" s="210" t="s">
        <v>4648</v>
      </c>
      <c r="L17" s="169">
        <v>4433930</v>
      </c>
      <c r="M17" s="210">
        <v>1.5</v>
      </c>
      <c r="N17" s="113">
        <f>L17*M17</f>
        <v>6650895</v>
      </c>
      <c r="O17" s="99" t="s">
        <v>452</v>
      </c>
    </row>
    <row r="18" spans="1:20">
      <c r="A18" s="96"/>
      <c r="B18" s="96"/>
      <c r="C18" s="96"/>
      <c r="D18" s="96"/>
      <c r="J18" s="213">
        <v>17</v>
      </c>
      <c r="K18" s="213" t="s">
        <v>4665</v>
      </c>
      <c r="L18" s="169">
        <v>4291628</v>
      </c>
      <c r="M18" s="213">
        <v>0.5</v>
      </c>
      <c r="N18" s="113">
        <v>2145814</v>
      </c>
      <c r="O18" s="99" t="s">
        <v>749</v>
      </c>
    </row>
    <row r="19" spans="1:20">
      <c r="A19" s="96"/>
      <c r="B19" s="96"/>
      <c r="C19" s="96"/>
      <c r="D19" s="96"/>
      <c r="J19" s="213">
        <v>18</v>
      </c>
      <c r="K19" s="213" t="s">
        <v>4665</v>
      </c>
      <c r="L19" s="169">
        <v>4291628</v>
      </c>
      <c r="M19" s="213">
        <v>0.5</v>
      </c>
      <c r="N19" s="113">
        <v>2145814</v>
      </c>
      <c r="O19" s="99" t="s">
        <v>452</v>
      </c>
      <c r="R19" t="s">
        <v>25</v>
      </c>
      <c r="T19" t="s">
        <v>25</v>
      </c>
    </row>
    <row r="20" spans="1:20">
      <c r="J20" s="213">
        <v>19</v>
      </c>
      <c r="K20" s="213" t="s">
        <v>4676</v>
      </c>
      <c r="L20" s="169">
        <v>4369730</v>
      </c>
      <c r="M20" s="213">
        <v>1</v>
      </c>
      <c r="N20" s="113">
        <f t="shared" ref="N20:N38" si="1">L20*M20</f>
        <v>4369730</v>
      </c>
      <c r="O20" s="99" t="s">
        <v>749</v>
      </c>
    </row>
    <row r="21" spans="1:20">
      <c r="J21" s="213">
        <v>20</v>
      </c>
      <c r="K21" s="213" t="s">
        <v>4676</v>
      </c>
      <c r="L21" s="169">
        <v>4369730</v>
      </c>
      <c r="M21" s="213">
        <v>1</v>
      </c>
      <c r="N21" s="113">
        <f t="shared" si="1"/>
        <v>4369730</v>
      </c>
      <c r="O21" s="99" t="s">
        <v>452</v>
      </c>
      <c r="R21" t="s">
        <v>25</v>
      </c>
    </row>
    <row r="22" spans="1:20">
      <c r="J22" s="168">
        <v>21</v>
      </c>
      <c r="K22" s="168" t="s">
        <v>4677</v>
      </c>
      <c r="L22" s="113">
        <v>4398820</v>
      </c>
      <c r="M22" s="168">
        <v>2</v>
      </c>
      <c r="N22" s="113">
        <f t="shared" si="1"/>
        <v>8797640</v>
      </c>
      <c r="O22" s="99" t="s">
        <v>749</v>
      </c>
      <c r="R22" t="s">
        <v>25</v>
      </c>
    </row>
    <row r="23" spans="1:20">
      <c r="A23" s="99" t="s">
        <v>180</v>
      </c>
      <c r="B23" s="99" t="s">
        <v>4670</v>
      </c>
      <c r="C23" s="99" t="s">
        <v>4671</v>
      </c>
      <c r="D23" s="99" t="s">
        <v>4672</v>
      </c>
      <c r="E23" s="69" t="s">
        <v>4673</v>
      </c>
      <c r="J23" s="213">
        <v>22</v>
      </c>
      <c r="K23" s="213" t="s">
        <v>4677</v>
      </c>
      <c r="L23" s="113">
        <v>4398820</v>
      </c>
      <c r="M23" s="213">
        <v>2</v>
      </c>
      <c r="N23" s="113">
        <f t="shared" si="1"/>
        <v>8797640</v>
      </c>
      <c r="O23" s="99" t="s">
        <v>452</v>
      </c>
      <c r="Q23" t="s">
        <v>25</v>
      </c>
      <c r="R23" t="s">
        <v>25</v>
      </c>
    </row>
    <row r="24" spans="1:20">
      <c r="A24" s="99" t="s">
        <v>4637</v>
      </c>
      <c r="B24" s="95">
        <v>4080000</v>
      </c>
      <c r="C24" s="95">
        <v>4200000</v>
      </c>
      <c r="D24" s="95"/>
      <c r="E24" s="95"/>
      <c r="J24" s="219">
        <v>23</v>
      </c>
      <c r="K24" s="219" t="s">
        <v>4677</v>
      </c>
      <c r="L24" s="220">
        <v>4388600</v>
      </c>
      <c r="M24" s="219">
        <v>5</v>
      </c>
      <c r="N24" s="220">
        <f t="shared" si="1"/>
        <v>21943000</v>
      </c>
      <c r="O24" s="221" t="s">
        <v>4688</v>
      </c>
    </row>
    <row r="25" spans="1:20">
      <c r="A25" s="99" t="s">
        <v>4646</v>
      </c>
      <c r="B25" s="95">
        <v>4100000</v>
      </c>
      <c r="C25" s="95">
        <v>4230000</v>
      </c>
      <c r="D25" s="95"/>
      <c r="E25" s="95"/>
      <c r="J25" s="213">
        <v>24</v>
      </c>
      <c r="K25" s="213" t="s">
        <v>4678</v>
      </c>
      <c r="L25" s="113">
        <v>4445103</v>
      </c>
      <c r="M25" s="213">
        <v>1.5</v>
      </c>
      <c r="N25" s="113">
        <f t="shared" si="1"/>
        <v>6667654.5</v>
      </c>
      <c r="O25" s="99" t="s">
        <v>749</v>
      </c>
    </row>
    <row r="26" spans="1:20">
      <c r="A26" s="99" t="s">
        <v>4648</v>
      </c>
      <c r="B26" s="95">
        <v>4230000</v>
      </c>
      <c r="C26" s="95">
        <v>4330000</v>
      </c>
      <c r="D26" s="95">
        <v>12200</v>
      </c>
      <c r="E26" s="95">
        <v>12350</v>
      </c>
      <c r="J26" s="213">
        <v>25</v>
      </c>
      <c r="K26" s="213" t="s">
        <v>4678</v>
      </c>
      <c r="L26" s="113">
        <v>4445103</v>
      </c>
      <c r="M26" s="213">
        <v>1.5</v>
      </c>
      <c r="N26" s="113">
        <f t="shared" si="1"/>
        <v>6667654.5</v>
      </c>
      <c r="O26" s="99" t="s">
        <v>452</v>
      </c>
      <c r="R26" t="s">
        <v>25</v>
      </c>
    </row>
    <row r="27" spans="1:20">
      <c r="A27" s="99" t="s">
        <v>4658</v>
      </c>
      <c r="B27" s="95">
        <v>4270000</v>
      </c>
      <c r="C27" s="95">
        <v>4370000</v>
      </c>
      <c r="D27" s="95"/>
      <c r="E27" s="95"/>
      <c r="J27" s="213">
        <v>26</v>
      </c>
      <c r="K27" s="213" t="s">
        <v>4687</v>
      </c>
      <c r="L27" s="113">
        <v>4490623</v>
      </c>
      <c r="M27" s="213">
        <v>2</v>
      </c>
      <c r="N27" s="113">
        <f t="shared" si="1"/>
        <v>8981246</v>
      </c>
      <c r="O27" s="99" t="s">
        <v>749</v>
      </c>
      <c r="R27" t="s">
        <v>25</v>
      </c>
      <c r="S27" t="s">
        <v>25</v>
      </c>
    </row>
    <row r="28" spans="1:20">
      <c r="A28" s="99" t="s">
        <v>4665</v>
      </c>
      <c r="B28" s="95">
        <v>3980000</v>
      </c>
      <c r="C28" s="95">
        <v>4120000</v>
      </c>
      <c r="D28" s="95">
        <v>11450</v>
      </c>
      <c r="E28" s="95">
        <v>11650</v>
      </c>
      <c r="J28" s="213">
        <v>27</v>
      </c>
      <c r="K28" s="213" t="s">
        <v>4687</v>
      </c>
      <c r="L28" s="113">
        <v>4490623</v>
      </c>
      <c r="M28" s="213">
        <v>2</v>
      </c>
      <c r="N28" s="113">
        <f t="shared" si="1"/>
        <v>8981246</v>
      </c>
      <c r="O28" s="99" t="s">
        <v>452</v>
      </c>
    </row>
    <row r="29" spans="1:20">
      <c r="A29" s="99" t="s">
        <v>4667</v>
      </c>
      <c r="B29" s="95">
        <v>4120000</v>
      </c>
      <c r="C29" s="95">
        <v>4230000</v>
      </c>
      <c r="D29" s="95">
        <v>11650</v>
      </c>
      <c r="E29" s="95">
        <v>11750</v>
      </c>
      <c r="J29" s="213">
        <v>28</v>
      </c>
      <c r="K29" s="213" t="s">
        <v>3680</v>
      </c>
      <c r="L29" s="113">
        <v>4590878</v>
      </c>
      <c r="M29" s="213">
        <v>2</v>
      </c>
      <c r="N29" s="113">
        <f t="shared" si="1"/>
        <v>9181756</v>
      </c>
      <c r="O29" s="99" t="s">
        <v>749</v>
      </c>
    </row>
    <row r="30" spans="1:20">
      <c r="A30" s="99" t="s">
        <v>4668</v>
      </c>
      <c r="B30" s="95">
        <v>4170000</v>
      </c>
      <c r="C30" s="95">
        <v>4280000</v>
      </c>
      <c r="D30" s="95">
        <v>11750</v>
      </c>
      <c r="E30" s="95">
        <v>11900</v>
      </c>
      <c r="J30" s="213">
        <v>29</v>
      </c>
      <c r="K30" s="213" t="s">
        <v>3680</v>
      </c>
      <c r="L30" s="113">
        <v>4590878</v>
      </c>
      <c r="M30" s="213">
        <v>2</v>
      </c>
      <c r="N30" s="113">
        <f t="shared" si="1"/>
        <v>9181756</v>
      </c>
      <c r="O30" s="99" t="s">
        <v>452</v>
      </c>
      <c r="R30" t="s">
        <v>25</v>
      </c>
    </row>
    <row r="31" spans="1:20">
      <c r="A31" s="99" t="s">
        <v>4674</v>
      </c>
      <c r="B31" s="95">
        <v>4130000</v>
      </c>
      <c r="C31" s="95">
        <v>4260000</v>
      </c>
      <c r="D31" s="95">
        <v>11850</v>
      </c>
      <c r="E31" s="95">
        <v>11950</v>
      </c>
      <c r="J31" s="213">
        <v>30</v>
      </c>
      <c r="K31" s="213" t="s">
        <v>4699</v>
      </c>
      <c r="L31" s="113">
        <v>4724483</v>
      </c>
      <c r="M31" s="213">
        <v>2.5</v>
      </c>
      <c r="N31" s="113">
        <f t="shared" si="1"/>
        <v>11811207.5</v>
      </c>
      <c r="O31" s="99" t="s">
        <v>749</v>
      </c>
    </row>
    <row r="32" spans="1:20">
      <c r="A32" s="99" t="s">
        <v>4676</v>
      </c>
      <c r="B32" s="95">
        <v>4100000</v>
      </c>
      <c r="C32" s="95">
        <v>4220000</v>
      </c>
      <c r="D32" s="95">
        <v>11800</v>
      </c>
      <c r="E32" s="95">
        <v>11980</v>
      </c>
      <c r="J32" s="213">
        <v>31</v>
      </c>
      <c r="K32" s="213" t="s">
        <v>4699</v>
      </c>
      <c r="L32" s="113">
        <v>4724483</v>
      </c>
      <c r="M32" s="213">
        <v>2.5</v>
      </c>
      <c r="N32" s="113">
        <f t="shared" si="1"/>
        <v>11811207.5</v>
      </c>
      <c r="O32" s="99" t="s">
        <v>452</v>
      </c>
    </row>
    <row r="33" spans="1:19">
      <c r="A33" s="99" t="s">
        <v>4677</v>
      </c>
      <c r="B33" s="95">
        <v>4220000</v>
      </c>
      <c r="C33" s="95">
        <v>4320000</v>
      </c>
      <c r="D33" s="95">
        <v>11900</v>
      </c>
      <c r="E33" s="95">
        <v>12050</v>
      </c>
      <c r="J33" s="213">
        <v>32</v>
      </c>
      <c r="K33" s="213" t="s">
        <v>4714</v>
      </c>
      <c r="L33" s="113">
        <v>4852712</v>
      </c>
      <c r="M33" s="213">
        <v>8.5</v>
      </c>
      <c r="N33" s="113">
        <f t="shared" si="1"/>
        <v>41248052</v>
      </c>
      <c r="O33" s="99" t="s">
        <v>749</v>
      </c>
    </row>
    <row r="34" spans="1:19">
      <c r="A34" s="99" t="s">
        <v>4678</v>
      </c>
      <c r="B34" s="95">
        <v>4240000</v>
      </c>
      <c r="C34" s="95">
        <v>4340000</v>
      </c>
      <c r="D34" s="95">
        <v>12100</v>
      </c>
      <c r="E34" s="95">
        <v>12250</v>
      </c>
      <c r="I34" t="s">
        <v>25</v>
      </c>
      <c r="J34" s="213">
        <v>33</v>
      </c>
      <c r="K34" s="213" t="s">
        <v>4714</v>
      </c>
      <c r="L34" s="113">
        <v>4852712</v>
      </c>
      <c r="M34" s="213">
        <v>8.5</v>
      </c>
      <c r="N34" s="113">
        <f t="shared" si="1"/>
        <v>41248052</v>
      </c>
      <c r="O34" s="99" t="s">
        <v>452</v>
      </c>
    </row>
    <row r="35" spans="1:19">
      <c r="A35" s="99" t="s">
        <v>4687</v>
      </c>
      <c r="B35" s="95">
        <v>4230000</v>
      </c>
      <c r="C35" s="95">
        <v>4370000</v>
      </c>
      <c r="D35" s="95">
        <v>12100</v>
      </c>
      <c r="E35" s="95">
        <v>12250</v>
      </c>
      <c r="J35" s="213">
        <v>34</v>
      </c>
      <c r="K35" s="213" t="s">
        <v>4716</v>
      </c>
      <c r="L35" s="113">
        <v>4977171</v>
      </c>
      <c r="M35" s="213">
        <v>7.5</v>
      </c>
      <c r="N35" s="113">
        <f t="shared" si="1"/>
        <v>37328782.5</v>
      </c>
      <c r="O35" s="99" t="s">
        <v>749</v>
      </c>
    </row>
    <row r="36" spans="1:19">
      <c r="A36" s="99" t="s">
        <v>3680</v>
      </c>
      <c r="B36" s="95">
        <v>4300000</v>
      </c>
      <c r="C36" s="95">
        <v>4420000</v>
      </c>
      <c r="D36" s="95">
        <v>12300</v>
      </c>
      <c r="E36" s="95">
        <v>12400</v>
      </c>
      <c r="J36" s="213">
        <v>35</v>
      </c>
      <c r="K36" s="213" t="s">
        <v>4716</v>
      </c>
      <c r="L36" s="113">
        <v>4977171</v>
      </c>
      <c r="M36" s="213">
        <v>7.5</v>
      </c>
      <c r="N36" s="113">
        <f t="shared" si="1"/>
        <v>37328782.5</v>
      </c>
      <c r="O36" s="99" t="s">
        <v>452</v>
      </c>
      <c r="R36" s="96"/>
    </row>
    <row r="37" spans="1:19">
      <c r="A37" s="99" t="s">
        <v>4699</v>
      </c>
      <c r="B37" s="95">
        <v>4370000</v>
      </c>
      <c r="C37" s="95">
        <v>4480000</v>
      </c>
      <c r="D37" s="95">
        <v>12600</v>
      </c>
      <c r="E37" s="95">
        <v>12700</v>
      </c>
      <c r="J37" s="213">
        <v>36</v>
      </c>
      <c r="K37" s="213" t="s">
        <v>4841</v>
      </c>
      <c r="L37" s="113">
        <v>5048479</v>
      </c>
      <c r="M37" s="213">
        <v>4</v>
      </c>
      <c r="N37" s="113">
        <f t="shared" si="1"/>
        <v>20193916</v>
      </c>
      <c r="O37" s="99" t="s">
        <v>749</v>
      </c>
    </row>
    <row r="38" spans="1:19">
      <c r="A38" s="99" t="s">
        <v>4702</v>
      </c>
      <c r="B38" s="95">
        <v>4470000</v>
      </c>
      <c r="C38" s="95">
        <v>4580000</v>
      </c>
      <c r="D38" s="95">
        <v>13050</v>
      </c>
      <c r="E38" s="95">
        <v>13200</v>
      </c>
      <c r="J38" s="213">
        <v>37</v>
      </c>
      <c r="K38" s="213" t="s">
        <v>4841</v>
      </c>
      <c r="L38" s="113">
        <v>5048479</v>
      </c>
      <c r="M38" s="213">
        <v>9</v>
      </c>
      <c r="N38" s="113">
        <f t="shared" si="1"/>
        <v>45436311</v>
      </c>
      <c r="O38" s="99" t="s">
        <v>452</v>
      </c>
    </row>
    <row r="39" spans="1:19">
      <c r="A39" s="99" t="s">
        <v>4708</v>
      </c>
      <c r="B39" s="95">
        <v>4600000</v>
      </c>
      <c r="C39" s="95">
        <v>4720000</v>
      </c>
      <c r="D39" s="95"/>
      <c r="E39" s="95"/>
      <c r="J39" s="213"/>
      <c r="K39" s="213"/>
      <c r="L39" s="113"/>
      <c r="M39" s="213"/>
      <c r="N39" s="113"/>
      <c r="O39" s="99"/>
    </row>
    <row r="40" spans="1:19">
      <c r="A40" s="99" t="s">
        <v>4714</v>
      </c>
      <c r="B40" s="95">
        <v>4530000</v>
      </c>
      <c r="C40" s="95">
        <v>4680000</v>
      </c>
      <c r="D40" s="95">
        <v>13000</v>
      </c>
      <c r="E40" s="95">
        <v>13150</v>
      </c>
      <c r="J40" s="168"/>
      <c r="K40" s="168"/>
      <c r="L40" s="113" t="s">
        <v>25</v>
      </c>
      <c r="M40" s="168"/>
      <c r="N40" s="113"/>
      <c r="O40" s="99"/>
    </row>
    <row r="41" spans="1:19">
      <c r="A41" s="99" t="s">
        <v>4716</v>
      </c>
      <c r="B41" s="95">
        <v>4750000</v>
      </c>
      <c r="C41" s="95">
        <v>4900000</v>
      </c>
      <c r="D41" s="95">
        <v>13750</v>
      </c>
      <c r="E41" s="95">
        <v>13900</v>
      </c>
      <c r="J41" s="168"/>
      <c r="K41" s="168"/>
      <c r="L41" s="168"/>
      <c r="M41" s="168">
        <f>SUM(M2:M40)</f>
        <v>140</v>
      </c>
      <c r="N41" s="113">
        <f>SUM(N2:N40)</f>
        <v>618472600</v>
      </c>
      <c r="O41" s="169">
        <f>N41/(M41-3)</f>
        <v>4514398.5401459858</v>
      </c>
    </row>
    <row r="42" spans="1:19">
      <c r="A42" s="99" t="s">
        <v>4723</v>
      </c>
      <c r="B42" s="95">
        <v>4700000</v>
      </c>
      <c r="C42" s="95">
        <v>4850000</v>
      </c>
      <c r="D42" s="95">
        <v>13650</v>
      </c>
      <c r="E42" s="95">
        <v>13800</v>
      </c>
      <c r="J42" s="168"/>
      <c r="K42" s="168"/>
      <c r="L42" s="168"/>
      <c r="M42" s="168" t="s">
        <v>6</v>
      </c>
      <c r="N42" s="168"/>
      <c r="O42" s="99"/>
      <c r="P42">
        <f>O44/2</f>
        <v>37328780.5</v>
      </c>
      <c r="Q42">
        <f>O44/15</f>
        <v>4977170.7333333334</v>
      </c>
    </row>
    <row r="43" spans="1:19">
      <c r="A43" s="99" t="s">
        <v>4729</v>
      </c>
      <c r="B43" s="95">
        <v>4550000</v>
      </c>
      <c r="C43" s="95">
        <v>4750000</v>
      </c>
      <c r="D43" s="95">
        <v>13400</v>
      </c>
      <c r="E43" s="95">
        <v>13500</v>
      </c>
      <c r="M43" s="113">
        <f>N41/(M41-3)</f>
        <v>4514398.5401459858</v>
      </c>
      <c r="S43" t="s">
        <v>25</v>
      </c>
    </row>
    <row r="44" spans="1:19">
      <c r="A44" s="99" t="s">
        <v>4737</v>
      </c>
      <c r="B44" s="95">
        <v>4580000</v>
      </c>
      <c r="C44" s="95">
        <v>4750000</v>
      </c>
      <c r="D44" s="95">
        <v>13350</v>
      </c>
      <c r="E44" s="95">
        <v>13500</v>
      </c>
      <c r="I44" s="41"/>
      <c r="M44" s="41" t="s">
        <v>4508</v>
      </c>
      <c r="N44" t="s">
        <v>25</v>
      </c>
      <c r="O44" s="223">
        <v>74657561</v>
      </c>
      <c r="R44" t="s">
        <v>25</v>
      </c>
    </row>
    <row r="45" spans="1:19">
      <c r="A45" s="99" t="s">
        <v>4745</v>
      </c>
      <c r="B45" s="95">
        <v>4500000</v>
      </c>
      <c r="C45" s="95">
        <v>4650000</v>
      </c>
      <c r="D45" s="95">
        <v>13250</v>
      </c>
      <c r="E45" s="95">
        <v>13450</v>
      </c>
    </row>
    <row r="46" spans="1:19">
      <c r="A46" s="99" t="s">
        <v>4750</v>
      </c>
      <c r="B46" s="95">
        <v>4620000</v>
      </c>
      <c r="C46" s="95">
        <v>4770000</v>
      </c>
      <c r="D46" s="95">
        <v>13600</v>
      </c>
      <c r="E46" s="95">
        <v>13700</v>
      </c>
    </row>
    <row r="47" spans="1:19">
      <c r="A47" s="99" t="s">
        <v>4754</v>
      </c>
      <c r="B47" s="95">
        <v>4400000</v>
      </c>
      <c r="C47" s="95">
        <v>4600000</v>
      </c>
      <c r="D47" s="95">
        <v>13200</v>
      </c>
      <c r="E47" s="95">
        <v>13400</v>
      </c>
      <c r="L47">
        <f>140-M41</f>
        <v>0</v>
      </c>
      <c r="M47">
        <f>70-M2-M4-M5-M7-M9-M10-M12-M14-M16-M18-M20-M22-M25-M27-M29-M31-M33-M35-M37</f>
        <v>0</v>
      </c>
      <c r="N47" t="s">
        <v>483</v>
      </c>
    </row>
    <row r="48" spans="1:19">
      <c r="A48" s="99" t="s">
        <v>4755</v>
      </c>
      <c r="B48" s="95">
        <v>4250000</v>
      </c>
      <c r="C48" s="95">
        <v>4450000</v>
      </c>
      <c r="D48" s="95">
        <v>12750</v>
      </c>
      <c r="E48" s="95">
        <v>12900</v>
      </c>
      <c r="M48">
        <f>65-M3-M6-M8-M11-M13-M15-M17-M19-M21-M23-M26-M28-M30-M32-M34-M36-M38</f>
        <v>0</v>
      </c>
      <c r="N48" t="s">
        <v>5</v>
      </c>
    </row>
    <row r="49" spans="1:17">
      <c r="A49" s="99" t="s">
        <v>4763</v>
      </c>
      <c r="B49" s="95">
        <v>4380000</v>
      </c>
      <c r="C49" s="95">
        <v>4520000</v>
      </c>
      <c r="D49" s="95">
        <v>12750</v>
      </c>
      <c r="E49" s="95">
        <v>12900</v>
      </c>
      <c r="K49">
        <v>16</v>
      </c>
      <c r="L49" s="223">
        <v>807756734</v>
      </c>
      <c r="M49">
        <f>L49/16</f>
        <v>50484795.875</v>
      </c>
      <c r="N49">
        <f>M49*4</f>
        <v>201939183.5</v>
      </c>
    </row>
    <row r="50" spans="1:17">
      <c r="A50" s="99" t="s">
        <v>4766</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4787</v>
      </c>
      <c r="B52" s="95">
        <v>4480000</v>
      </c>
      <c r="C52" s="95">
        <v>4600000</v>
      </c>
      <c r="D52" s="95">
        <v>13050</v>
      </c>
      <c r="E52" s="95">
        <v>13200</v>
      </c>
      <c r="K52" s="168" t="s">
        <v>4517</v>
      </c>
      <c r="L52" s="168" t="s">
        <v>1082</v>
      </c>
      <c r="M52" s="168" t="s">
        <v>4233</v>
      </c>
      <c r="N52" s="168" t="s">
        <v>4534</v>
      </c>
      <c r="O52" s="168"/>
    </row>
    <row r="53" spans="1:17">
      <c r="A53" s="99" t="s">
        <v>4789</v>
      </c>
      <c r="B53" s="95">
        <v>4400000</v>
      </c>
      <c r="C53" s="95">
        <v>4550000</v>
      </c>
      <c r="D53" s="95">
        <v>12850</v>
      </c>
      <c r="E53" s="95">
        <v>13000</v>
      </c>
      <c r="K53" s="168" t="s">
        <v>4507</v>
      </c>
      <c r="L53" s="168">
        <v>3390000</v>
      </c>
      <c r="M53" s="168">
        <v>161.4</v>
      </c>
      <c r="N53" s="168">
        <f>L53/M53</f>
        <v>21003.717472118959</v>
      </c>
      <c r="O53" s="168"/>
    </row>
    <row r="54" spans="1:17">
      <c r="A54" s="99" t="s">
        <v>4791</v>
      </c>
      <c r="B54" s="95">
        <v>4400000</v>
      </c>
      <c r="C54" s="95">
        <v>4520000</v>
      </c>
      <c r="D54" s="95">
        <v>12800</v>
      </c>
      <c r="E54" s="95">
        <v>12950</v>
      </c>
      <c r="K54" s="168"/>
      <c r="L54" s="168"/>
      <c r="M54" s="168"/>
      <c r="N54" s="168"/>
      <c r="O54" s="168"/>
    </row>
    <row r="55" spans="1:17">
      <c r="A55" s="99" t="s">
        <v>4794</v>
      </c>
      <c r="B55" s="95">
        <v>4460000</v>
      </c>
      <c r="C55" s="95">
        <v>4580000</v>
      </c>
      <c r="D55" s="95">
        <v>12850</v>
      </c>
      <c r="E55" s="95">
        <v>13000</v>
      </c>
      <c r="K55" s="168"/>
      <c r="L55" s="168"/>
      <c r="M55" s="168"/>
      <c r="N55" s="168"/>
      <c r="O55" s="168"/>
    </row>
    <row r="56" spans="1:17">
      <c r="A56" s="99" t="s">
        <v>4800</v>
      </c>
      <c r="B56" s="95">
        <v>4500000</v>
      </c>
      <c r="C56" s="95">
        <v>4620000</v>
      </c>
      <c r="D56" s="95">
        <v>13000</v>
      </c>
      <c r="E56" s="95">
        <v>13200</v>
      </c>
      <c r="K56" s="168"/>
      <c r="L56" s="168"/>
      <c r="M56" s="168"/>
      <c r="N56" s="168"/>
      <c r="O56" s="168"/>
    </row>
    <row r="57" spans="1:17">
      <c r="A57" s="99" t="s">
        <v>4805</v>
      </c>
      <c r="B57" s="95">
        <v>4450000</v>
      </c>
      <c r="C57" s="95">
        <v>4600000</v>
      </c>
      <c r="D57" s="95">
        <v>12850</v>
      </c>
      <c r="E57" s="95">
        <v>13050</v>
      </c>
      <c r="K57" s="168"/>
      <c r="L57" s="168"/>
      <c r="M57" s="168"/>
      <c r="N57" s="168"/>
      <c r="O57" s="168"/>
    </row>
    <row r="58" spans="1:17">
      <c r="A58" s="99" t="s">
        <v>4814</v>
      </c>
      <c r="B58" s="95">
        <v>4500000</v>
      </c>
      <c r="C58" s="95">
        <v>4650000</v>
      </c>
      <c r="D58" s="95">
        <v>12900</v>
      </c>
      <c r="E58" s="95">
        <v>13100</v>
      </c>
      <c r="K58" s="168"/>
      <c r="L58" s="168"/>
      <c r="M58" s="168"/>
      <c r="N58" s="168"/>
      <c r="O58" s="168"/>
    </row>
    <row r="59" spans="1:17">
      <c r="A59" s="99" t="s">
        <v>4841</v>
      </c>
      <c r="B59" s="95">
        <v>4700000</v>
      </c>
      <c r="C59" s="95">
        <v>4800000</v>
      </c>
      <c r="D59" s="95">
        <v>13300</v>
      </c>
      <c r="E59" s="95">
        <v>13450</v>
      </c>
      <c r="K59" s="168"/>
      <c r="L59" s="168"/>
      <c r="M59" s="168"/>
      <c r="N59" s="168"/>
      <c r="O59" s="168"/>
    </row>
    <row r="60" spans="1:17">
      <c r="A60" s="99" t="s">
        <v>4842</v>
      </c>
      <c r="B60" s="95">
        <v>4750000</v>
      </c>
      <c r="C60" s="95">
        <v>4850000</v>
      </c>
      <c r="D60" s="95">
        <v>13500</v>
      </c>
      <c r="E60" s="95">
        <v>13650</v>
      </c>
      <c r="K60" s="168"/>
      <c r="L60" s="168"/>
      <c r="M60" s="168"/>
      <c r="N60" s="168"/>
      <c r="O60" s="168"/>
    </row>
    <row r="61" spans="1:17">
      <c r="A61" s="99" t="s">
        <v>4850</v>
      </c>
      <c r="B61" s="95">
        <v>4850000</v>
      </c>
      <c r="C61" s="95">
        <v>4950000</v>
      </c>
      <c r="D61" s="95">
        <v>13750</v>
      </c>
      <c r="E61" s="95">
        <v>13900</v>
      </c>
    </row>
    <row r="62" spans="1:17">
      <c r="A62" s="99" t="s">
        <v>4866</v>
      </c>
      <c r="B62" s="95">
        <v>4680000</v>
      </c>
      <c r="C62" s="95">
        <v>4780000</v>
      </c>
      <c r="D62" s="95">
        <v>13500</v>
      </c>
      <c r="E62" s="95">
        <v>13650</v>
      </c>
    </row>
    <row r="63" spans="1:17">
      <c r="A63" s="99" t="s">
        <v>4959</v>
      </c>
      <c r="B63" s="95">
        <v>4700000</v>
      </c>
      <c r="C63" s="95">
        <v>4830000</v>
      </c>
      <c r="D63" s="95">
        <v>13850</v>
      </c>
      <c r="E63" s="95">
        <v>14050</v>
      </c>
      <c r="I63" s="213" t="s">
        <v>8</v>
      </c>
      <c r="J63" s="213" t="s">
        <v>4726</v>
      </c>
      <c r="K63" s="213" t="s">
        <v>180</v>
      </c>
      <c r="L63" s="226" t="s">
        <v>4724</v>
      </c>
      <c r="M63" s="226" t="s">
        <v>4725</v>
      </c>
      <c r="N63" s="213" t="s">
        <v>6</v>
      </c>
      <c r="O63" s="213" t="s">
        <v>4727</v>
      </c>
      <c r="P63" s="213" t="s">
        <v>4739</v>
      </c>
    </row>
    <row r="64" spans="1:17">
      <c r="A64" s="99" t="s">
        <v>5003</v>
      </c>
      <c r="B64" s="95">
        <v>4600000</v>
      </c>
      <c r="C64" s="95">
        <v>4700000</v>
      </c>
      <c r="D64" s="95">
        <v>13300</v>
      </c>
      <c r="E64" s="95">
        <v>13500</v>
      </c>
      <c r="G64" t="s">
        <v>25</v>
      </c>
      <c r="I64" s="213"/>
      <c r="J64" s="213"/>
      <c r="K64" s="213" t="s">
        <v>4677</v>
      </c>
      <c r="L64" s="84">
        <v>535989412</v>
      </c>
      <c r="M64" s="84"/>
      <c r="N64" s="213"/>
      <c r="O64" s="213"/>
      <c r="P64" s="213"/>
      <c r="Q64" s="84">
        <v>0</v>
      </c>
    </row>
    <row r="65" spans="1:17">
      <c r="A65" s="99" t="s">
        <v>5038</v>
      </c>
      <c r="B65" s="95">
        <v>4520000</v>
      </c>
      <c r="C65" s="95">
        <v>4620000</v>
      </c>
      <c r="D65" s="95">
        <v>12950</v>
      </c>
      <c r="E65" s="95">
        <v>13150</v>
      </c>
      <c r="I65" s="213"/>
      <c r="J65" s="113">
        <f>L65-L64</f>
        <v>12939932</v>
      </c>
      <c r="K65" s="213" t="s">
        <v>4702</v>
      </c>
      <c r="L65" s="84">
        <v>548929344</v>
      </c>
      <c r="M65" s="84"/>
      <c r="N65" s="213"/>
      <c r="O65" s="213"/>
      <c r="P65" s="213"/>
      <c r="Q65" s="84">
        <v>0</v>
      </c>
    </row>
    <row r="66" spans="1:17">
      <c r="A66" s="99" t="s">
        <v>5072</v>
      </c>
      <c r="B66" s="95">
        <v>3900000</v>
      </c>
      <c r="C66" s="95">
        <v>4050000</v>
      </c>
      <c r="D66" s="95">
        <v>10900</v>
      </c>
      <c r="E66" s="95">
        <v>11150</v>
      </c>
      <c r="F66" t="s">
        <v>25</v>
      </c>
      <c r="I66" s="213"/>
      <c r="J66" s="113">
        <f t="shared" ref="J66:J88" si="2">L66-L65</f>
        <v>11531981</v>
      </c>
      <c r="K66" s="213" t="s">
        <v>4708</v>
      </c>
      <c r="L66" s="84">
        <v>560461325</v>
      </c>
      <c r="M66" s="84"/>
      <c r="N66" s="213"/>
      <c r="O66" s="213"/>
      <c r="P66" s="213"/>
      <c r="Q66" s="84">
        <v>0</v>
      </c>
    </row>
    <row r="67" spans="1:17">
      <c r="A67" s="99" t="s">
        <v>5116</v>
      </c>
      <c r="B67" s="95">
        <v>3950000</v>
      </c>
      <c r="C67" s="95">
        <v>4070000</v>
      </c>
      <c r="D67" s="95">
        <v>11000</v>
      </c>
      <c r="E67" s="95">
        <v>11200</v>
      </c>
      <c r="I67" s="213"/>
      <c r="J67" s="113">
        <f t="shared" si="2"/>
        <v>17387769</v>
      </c>
      <c r="K67" s="213" t="s">
        <v>4714</v>
      </c>
      <c r="L67" s="84">
        <v>577849094</v>
      </c>
      <c r="M67" s="84"/>
      <c r="N67" s="213"/>
      <c r="O67" s="213"/>
      <c r="P67" s="213"/>
      <c r="Q67" s="84">
        <v>0</v>
      </c>
    </row>
    <row r="68" spans="1:17">
      <c r="A68" s="99" t="s">
        <v>5119</v>
      </c>
      <c r="B68" s="95">
        <v>4050000</v>
      </c>
      <c r="C68" s="95">
        <v>4150000</v>
      </c>
      <c r="D68" s="95">
        <v>11150</v>
      </c>
      <c r="E68" s="95">
        <v>11350</v>
      </c>
      <c r="I68" s="213"/>
      <c r="J68" s="113">
        <f t="shared" si="2"/>
        <v>11024486</v>
      </c>
      <c r="K68" s="213" t="s">
        <v>4716</v>
      </c>
      <c r="L68" s="84">
        <v>588873580</v>
      </c>
      <c r="M68" s="84">
        <v>250255923</v>
      </c>
      <c r="N68" s="113">
        <f>L68+M68</f>
        <v>839129503</v>
      </c>
      <c r="O68" s="113">
        <f>M68-M67</f>
        <v>250255923</v>
      </c>
      <c r="P68" s="113">
        <f>N68-N67</f>
        <v>839129503</v>
      </c>
      <c r="Q68" s="84">
        <v>0</v>
      </c>
    </row>
    <row r="69" spans="1:17">
      <c r="A69" s="99" t="s">
        <v>5140</v>
      </c>
      <c r="B69" s="95">
        <v>4060000</v>
      </c>
      <c r="C69" s="95">
        <v>4160000</v>
      </c>
      <c r="D69" s="95">
        <v>11500</v>
      </c>
      <c r="E69" s="95">
        <v>11700</v>
      </c>
      <c r="I69" s="213"/>
      <c r="J69" s="113">
        <f t="shared" si="2"/>
        <v>-8942851</v>
      </c>
      <c r="K69" s="213" t="s">
        <v>4723</v>
      </c>
      <c r="L69" s="229">
        <v>579930729</v>
      </c>
      <c r="M69" s="84">
        <v>247714729</v>
      </c>
      <c r="N69" s="113">
        <f t="shared" ref="N69:N91" si="3">L69+M69</f>
        <v>827645458</v>
      </c>
      <c r="O69" s="113">
        <f t="shared" ref="O69:O88" si="4">M69-M68</f>
        <v>-2541194</v>
      </c>
      <c r="P69" s="113">
        <f t="shared" ref="P69:P88" si="5">N69-N68</f>
        <v>-11484045</v>
      </c>
      <c r="Q69" s="84">
        <v>0</v>
      </c>
    </row>
    <row r="70" spans="1:17">
      <c r="A70" s="99" t="s">
        <v>5142</v>
      </c>
      <c r="B70" s="95">
        <v>4020000</v>
      </c>
      <c r="C70" s="95">
        <v>4120000</v>
      </c>
      <c r="D70" s="95">
        <v>11400</v>
      </c>
      <c r="E70" s="95">
        <v>11600</v>
      </c>
      <c r="I70" s="5" t="s">
        <v>4736</v>
      </c>
      <c r="J70" s="35">
        <f t="shared" si="2"/>
        <v>45893629</v>
      </c>
      <c r="K70" s="5" t="s">
        <v>4729</v>
      </c>
      <c r="L70" s="234">
        <v>625824358</v>
      </c>
      <c r="M70" s="234">
        <v>243028777</v>
      </c>
      <c r="N70" s="35">
        <f t="shared" si="3"/>
        <v>868853135</v>
      </c>
      <c r="O70" s="35">
        <f t="shared" si="4"/>
        <v>-4685952</v>
      </c>
      <c r="P70" s="35">
        <f>N70-N69-50000000</f>
        <v>-8792323</v>
      </c>
      <c r="Q70" s="84">
        <v>50000000</v>
      </c>
    </row>
    <row r="71" spans="1:17">
      <c r="A71" s="99" t="s">
        <v>5148</v>
      </c>
      <c r="B71" s="95">
        <v>3930000</v>
      </c>
      <c r="C71" s="95">
        <v>4030000</v>
      </c>
      <c r="D71" s="95">
        <v>11100</v>
      </c>
      <c r="E71" s="95">
        <v>11300</v>
      </c>
      <c r="I71" s="213"/>
      <c r="J71" s="113">
        <f t="shared" si="2"/>
        <v>3462014</v>
      </c>
      <c r="K71" s="213" t="s">
        <v>4737</v>
      </c>
      <c r="L71" s="84">
        <v>629286372</v>
      </c>
      <c r="M71" s="84">
        <v>246690884</v>
      </c>
      <c r="N71" s="113">
        <f t="shared" si="3"/>
        <v>875977256</v>
      </c>
      <c r="O71" s="113">
        <f t="shared" si="4"/>
        <v>3662107</v>
      </c>
      <c r="P71" s="113">
        <f t="shared" si="5"/>
        <v>7124121</v>
      </c>
      <c r="Q71" s="84">
        <v>0</v>
      </c>
    </row>
    <row r="72" spans="1:17">
      <c r="A72" s="99" t="s">
        <v>5151</v>
      </c>
      <c r="B72" s="95">
        <v>3950000</v>
      </c>
      <c r="C72" s="95">
        <v>4050000</v>
      </c>
      <c r="D72" s="95">
        <v>11200</v>
      </c>
      <c r="E72" s="95">
        <v>11300</v>
      </c>
      <c r="I72" s="213"/>
      <c r="J72" s="113">
        <f t="shared" si="2"/>
        <v>-2687296</v>
      </c>
      <c r="K72" s="213" t="s">
        <v>4750</v>
      </c>
      <c r="L72" s="84">
        <v>626599076</v>
      </c>
      <c r="M72" s="84">
        <v>244530128</v>
      </c>
      <c r="N72" s="113">
        <f t="shared" si="3"/>
        <v>871129204</v>
      </c>
      <c r="O72" s="113">
        <f t="shared" si="4"/>
        <v>-2160756</v>
      </c>
      <c r="P72" s="113">
        <f t="shared" si="5"/>
        <v>-4848052</v>
      </c>
      <c r="Q72" s="84">
        <v>0</v>
      </c>
    </row>
    <row r="73" spans="1:17">
      <c r="A73" s="99" t="s">
        <v>5152</v>
      </c>
      <c r="B73" s="95">
        <v>3970000</v>
      </c>
      <c r="C73" s="95">
        <v>4070000</v>
      </c>
      <c r="D73" s="95">
        <v>11250</v>
      </c>
      <c r="E73" s="95">
        <v>11400</v>
      </c>
      <c r="I73" s="213"/>
      <c r="J73" s="113">
        <f t="shared" si="2"/>
        <v>-6009466</v>
      </c>
      <c r="K73" s="213" t="s">
        <v>4754</v>
      </c>
      <c r="L73" s="84">
        <v>620589610</v>
      </c>
      <c r="M73" s="84">
        <v>242967684</v>
      </c>
      <c r="N73" s="113">
        <f t="shared" si="3"/>
        <v>863557294</v>
      </c>
      <c r="O73" s="113">
        <f t="shared" si="4"/>
        <v>-1562444</v>
      </c>
      <c r="P73" s="113">
        <f t="shared" si="5"/>
        <v>-7571910</v>
      </c>
      <c r="Q73" s="84">
        <v>0</v>
      </c>
    </row>
    <row r="74" spans="1:17">
      <c r="A74" s="99" t="s">
        <v>4339</v>
      </c>
      <c r="B74" s="95">
        <v>3980000</v>
      </c>
      <c r="C74" s="95">
        <v>4080000</v>
      </c>
      <c r="D74" s="95">
        <v>11250</v>
      </c>
      <c r="E74" s="95">
        <v>11450</v>
      </c>
      <c r="G74" t="s">
        <v>25</v>
      </c>
      <c r="I74" s="213"/>
      <c r="J74" s="113">
        <f t="shared" si="2"/>
        <v>-1273071</v>
      </c>
      <c r="K74" s="213" t="s">
        <v>4755</v>
      </c>
      <c r="L74" s="84">
        <v>619316539</v>
      </c>
      <c r="M74" s="84">
        <v>242985726</v>
      </c>
      <c r="N74" s="113">
        <f t="shared" si="3"/>
        <v>862302265</v>
      </c>
      <c r="O74" s="113">
        <f t="shared" si="4"/>
        <v>18042</v>
      </c>
      <c r="P74" s="113">
        <f t="shared" si="5"/>
        <v>-1255029</v>
      </c>
      <c r="Q74" s="84">
        <v>0</v>
      </c>
    </row>
    <row r="75" spans="1:17">
      <c r="A75" s="99" t="s">
        <v>5154</v>
      </c>
      <c r="B75" s="95">
        <v>4020000</v>
      </c>
      <c r="C75" s="95">
        <v>4120000</v>
      </c>
      <c r="D75" s="95">
        <v>11350</v>
      </c>
      <c r="E75" s="95">
        <v>11500</v>
      </c>
      <c r="I75" s="213"/>
      <c r="J75" s="113">
        <f t="shared" si="2"/>
        <v>112274</v>
      </c>
      <c r="K75" s="213" t="s">
        <v>4763</v>
      </c>
      <c r="L75" s="84">
        <v>619428813</v>
      </c>
      <c r="M75" s="84">
        <v>242060147</v>
      </c>
      <c r="N75" s="113">
        <f t="shared" si="3"/>
        <v>861488960</v>
      </c>
      <c r="O75" s="113">
        <f t="shared" si="4"/>
        <v>-925579</v>
      </c>
      <c r="P75" s="113">
        <f t="shared" si="5"/>
        <v>-813305</v>
      </c>
      <c r="Q75" s="84">
        <v>0</v>
      </c>
    </row>
    <row r="76" spans="1:17">
      <c r="A76" s="99" t="s">
        <v>5157</v>
      </c>
      <c r="B76" s="95">
        <v>4000000</v>
      </c>
      <c r="C76" s="95">
        <v>4100000</v>
      </c>
      <c r="D76" s="95">
        <v>11250</v>
      </c>
      <c r="E76" s="95">
        <v>11400</v>
      </c>
      <c r="G76" t="s">
        <v>25</v>
      </c>
      <c r="I76" s="213"/>
      <c r="J76" s="113">
        <f t="shared" si="2"/>
        <v>6567221</v>
      </c>
      <c r="K76" s="213" t="s">
        <v>4766</v>
      </c>
      <c r="L76" s="84">
        <v>625996034</v>
      </c>
      <c r="M76" s="84">
        <v>242597875</v>
      </c>
      <c r="N76" s="113">
        <f t="shared" si="3"/>
        <v>868593909</v>
      </c>
      <c r="O76" s="113">
        <f t="shared" si="4"/>
        <v>537728</v>
      </c>
      <c r="P76" s="113">
        <f t="shared" si="5"/>
        <v>7104949</v>
      </c>
      <c r="Q76" s="84">
        <v>0</v>
      </c>
    </row>
    <row r="77" spans="1:17">
      <c r="A77" s="99" t="s">
        <v>5201</v>
      </c>
      <c r="B77" s="95">
        <v>3930000</v>
      </c>
      <c r="C77" s="95">
        <v>4030000</v>
      </c>
      <c r="D77" s="95">
        <v>11300</v>
      </c>
      <c r="E77" s="95">
        <v>11500</v>
      </c>
      <c r="I77" s="213"/>
      <c r="J77" s="113">
        <f t="shared" si="2"/>
        <v>4477051</v>
      </c>
      <c r="K77" s="213" t="s">
        <v>971</v>
      </c>
      <c r="L77" s="84">
        <v>630473085</v>
      </c>
      <c r="M77" s="84">
        <v>243884962</v>
      </c>
      <c r="N77" s="113">
        <f t="shared" si="3"/>
        <v>874358047</v>
      </c>
      <c r="O77" s="113">
        <f t="shared" si="4"/>
        <v>1287087</v>
      </c>
      <c r="P77" s="113">
        <f t="shared" si="5"/>
        <v>5764138</v>
      </c>
      <c r="Q77" s="84">
        <v>0</v>
      </c>
    </row>
    <row r="78" spans="1:17">
      <c r="A78" s="99" t="s">
        <v>972</v>
      </c>
      <c r="B78" s="95">
        <v>3950000</v>
      </c>
      <c r="C78" s="95">
        <v>4030000</v>
      </c>
      <c r="D78" s="95">
        <v>11300</v>
      </c>
      <c r="E78" s="95">
        <v>11500</v>
      </c>
      <c r="F78" t="s">
        <v>25</v>
      </c>
      <c r="I78" s="213"/>
      <c r="J78" s="113">
        <f t="shared" si="2"/>
        <v>6046556</v>
      </c>
      <c r="K78" s="213" t="s">
        <v>4787</v>
      </c>
      <c r="L78" s="84">
        <v>636519641</v>
      </c>
      <c r="M78" s="84">
        <v>248242879</v>
      </c>
      <c r="N78" s="113">
        <f t="shared" si="3"/>
        <v>884762520</v>
      </c>
      <c r="O78" s="113">
        <f t="shared" si="4"/>
        <v>4357917</v>
      </c>
      <c r="P78" s="113">
        <f t="shared" si="5"/>
        <v>10404473</v>
      </c>
      <c r="Q78" s="84">
        <v>0</v>
      </c>
    </row>
    <row r="79" spans="1:17">
      <c r="A79" s="99" t="s">
        <v>5209</v>
      </c>
      <c r="B79" s="95">
        <v>3940000</v>
      </c>
      <c r="C79" s="95">
        <v>4020000</v>
      </c>
      <c r="D79" s="95">
        <v>11250</v>
      </c>
      <c r="E79" s="95">
        <v>11450</v>
      </c>
      <c r="I79" s="213"/>
      <c r="J79" s="113">
        <f t="shared" si="2"/>
        <v>6885870</v>
      </c>
      <c r="K79" s="213" t="s">
        <v>4789</v>
      </c>
      <c r="L79" s="84">
        <v>643405511</v>
      </c>
      <c r="M79" s="84">
        <v>252682386</v>
      </c>
      <c r="N79" s="113">
        <f t="shared" si="3"/>
        <v>896087897</v>
      </c>
      <c r="O79" s="113">
        <f t="shared" si="4"/>
        <v>4439507</v>
      </c>
      <c r="P79" s="113">
        <f t="shared" si="5"/>
        <v>11325377</v>
      </c>
      <c r="Q79" s="84">
        <v>0</v>
      </c>
    </row>
    <row r="80" spans="1:17">
      <c r="A80" s="99" t="s">
        <v>5212</v>
      </c>
      <c r="B80" s="95">
        <v>3940000</v>
      </c>
      <c r="C80" s="95">
        <v>4020000</v>
      </c>
      <c r="D80" s="95">
        <v>11250</v>
      </c>
      <c r="E80" s="95">
        <v>11450</v>
      </c>
      <c r="G80" t="s">
        <v>25</v>
      </c>
      <c r="I80" s="5" t="s">
        <v>4804</v>
      </c>
      <c r="J80" s="35">
        <f t="shared" si="2"/>
        <v>-1984018</v>
      </c>
      <c r="K80" s="5" t="s">
        <v>4791</v>
      </c>
      <c r="L80" s="234">
        <v>641421493</v>
      </c>
      <c r="M80" s="234">
        <v>250864833</v>
      </c>
      <c r="N80" s="35">
        <f t="shared" si="3"/>
        <v>892286326</v>
      </c>
      <c r="O80" s="35">
        <f t="shared" si="4"/>
        <v>-1817553</v>
      </c>
      <c r="P80" s="35">
        <f>N80-N79-2000000</f>
        <v>-5801571</v>
      </c>
      <c r="Q80" s="84">
        <v>2000000</v>
      </c>
    </row>
    <row r="81" spans="1:21">
      <c r="A81" s="99" t="s">
        <v>5213</v>
      </c>
      <c r="B81" s="95">
        <v>3940000</v>
      </c>
      <c r="C81" s="95">
        <v>4020000</v>
      </c>
      <c r="D81" s="95">
        <v>11300</v>
      </c>
      <c r="E81" s="95">
        <v>11450</v>
      </c>
      <c r="I81" s="213"/>
      <c r="J81" s="113">
        <f t="shared" si="2"/>
        <v>6117877</v>
      </c>
      <c r="K81" s="213" t="s">
        <v>4794</v>
      </c>
      <c r="L81" s="84">
        <v>647539370</v>
      </c>
      <c r="M81" s="84">
        <v>254691103</v>
      </c>
      <c r="N81" s="220">
        <f t="shared" si="3"/>
        <v>902230473</v>
      </c>
      <c r="O81" s="113">
        <f t="shared" si="4"/>
        <v>3826270</v>
      </c>
      <c r="P81" s="113">
        <f t="shared" si="5"/>
        <v>9944147</v>
      </c>
      <c r="Q81" s="84">
        <v>0</v>
      </c>
    </row>
    <row r="82" spans="1:21">
      <c r="A82" s="99" t="s">
        <v>5216</v>
      </c>
      <c r="B82" s="95">
        <v>3970000</v>
      </c>
      <c r="C82" s="95">
        <v>4030000</v>
      </c>
      <c r="D82" s="95">
        <v>11300</v>
      </c>
      <c r="E82" s="95">
        <v>11500</v>
      </c>
      <c r="I82" s="236" t="s">
        <v>4803</v>
      </c>
      <c r="J82" s="86">
        <f t="shared" si="2"/>
        <v>8860702</v>
      </c>
      <c r="K82" s="191" t="s">
        <v>4800</v>
      </c>
      <c r="L82" s="235">
        <v>656400072</v>
      </c>
      <c r="M82" s="235">
        <v>260846052</v>
      </c>
      <c r="N82" s="220">
        <f t="shared" si="3"/>
        <v>917246124</v>
      </c>
      <c r="O82" s="86">
        <f t="shared" si="4"/>
        <v>6154949</v>
      </c>
      <c r="P82" s="86">
        <f>N82-N81-4250000</f>
        <v>10765651</v>
      </c>
      <c r="Q82" s="84">
        <v>4250000</v>
      </c>
    </row>
    <row r="83" spans="1:21" ht="30">
      <c r="A83" s="99" t="s">
        <v>989</v>
      </c>
      <c r="B83" s="95">
        <v>3920000</v>
      </c>
      <c r="C83" s="95">
        <v>3990000</v>
      </c>
      <c r="D83" s="95">
        <v>11200</v>
      </c>
      <c r="E83" s="95">
        <v>11350</v>
      </c>
      <c r="I83" s="236" t="s">
        <v>4812</v>
      </c>
      <c r="J83" s="86">
        <f>L83-L82+31412200</f>
        <v>20439704</v>
      </c>
      <c r="K83" s="191" t="s">
        <v>4805</v>
      </c>
      <c r="L83" s="235">
        <v>645427576</v>
      </c>
      <c r="M83" s="235">
        <v>263837297</v>
      </c>
      <c r="N83" s="220">
        <f t="shared" si="3"/>
        <v>909264873</v>
      </c>
      <c r="O83" s="86">
        <f>M83-M82+2060725</f>
        <v>5051970</v>
      </c>
      <c r="P83" s="86">
        <f>N83-N82+2060725+31412200</f>
        <v>25491674</v>
      </c>
      <c r="Q83" s="84">
        <v>-33472925</v>
      </c>
    </row>
    <row r="84" spans="1:21">
      <c r="A84" s="99" t="s">
        <v>4271</v>
      </c>
      <c r="B84" s="95">
        <v>3930000</v>
      </c>
      <c r="C84" s="95">
        <v>4000000</v>
      </c>
      <c r="D84" s="95">
        <v>11250</v>
      </c>
      <c r="E84" s="95">
        <v>11400</v>
      </c>
      <c r="F84" t="s">
        <v>25</v>
      </c>
      <c r="I84" s="189" t="s">
        <v>4813</v>
      </c>
      <c r="J84" s="188">
        <f t="shared" si="2"/>
        <v>21224293</v>
      </c>
      <c r="K84" s="189" t="s">
        <v>4814</v>
      </c>
      <c r="L84" s="237">
        <v>666651869</v>
      </c>
      <c r="M84" s="237">
        <v>303563891</v>
      </c>
      <c r="N84" s="220">
        <f t="shared" si="3"/>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2"/>
        <v>9478107</v>
      </c>
      <c r="K85" s="213" t="s">
        <v>978</v>
      </c>
      <c r="L85" s="84">
        <v>676129976</v>
      </c>
      <c r="M85" s="84">
        <v>302822379</v>
      </c>
      <c r="N85" s="220">
        <f t="shared" si="3"/>
        <v>978952355</v>
      </c>
      <c r="O85" s="113">
        <f t="shared" si="4"/>
        <v>-741512</v>
      </c>
      <c r="P85" s="113">
        <f t="shared" si="5"/>
        <v>8736595</v>
      </c>
      <c r="Q85" s="84">
        <v>0</v>
      </c>
    </row>
    <row r="86" spans="1:21">
      <c r="A86" s="99"/>
      <c r="B86" s="95"/>
      <c r="C86" s="95"/>
      <c r="D86" s="95"/>
      <c r="E86" s="95"/>
      <c r="I86" s="213"/>
      <c r="J86" s="113">
        <f t="shared" si="2"/>
        <v>-8249999</v>
      </c>
      <c r="K86" s="213" t="s">
        <v>4820</v>
      </c>
      <c r="L86" s="84">
        <v>667879977</v>
      </c>
      <c r="M86" s="84">
        <v>298414541</v>
      </c>
      <c r="N86" s="113">
        <f t="shared" si="3"/>
        <v>966294518</v>
      </c>
      <c r="O86" s="113">
        <f t="shared" si="4"/>
        <v>-4407838</v>
      </c>
      <c r="P86" s="113">
        <f t="shared" si="5"/>
        <v>-12657837</v>
      </c>
      <c r="Q86" s="84">
        <v>0</v>
      </c>
    </row>
    <row r="87" spans="1:21">
      <c r="A87" s="99"/>
      <c r="B87" s="95"/>
      <c r="C87" s="95"/>
      <c r="D87" s="95"/>
      <c r="E87" s="95"/>
      <c r="I87" s="238" t="s">
        <v>4831</v>
      </c>
      <c r="J87" s="196">
        <f>L87-L86-20000</f>
        <v>7878257</v>
      </c>
      <c r="K87" s="190" t="s">
        <v>4821</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2"/>
        <v>17031996</v>
      </c>
      <c r="K88" s="213" t="s">
        <v>4833</v>
      </c>
      <c r="L88" s="84">
        <v>692810230</v>
      </c>
      <c r="M88" s="84">
        <v>311823171</v>
      </c>
      <c r="N88" s="220">
        <f t="shared" si="3"/>
        <v>1004633401</v>
      </c>
      <c r="O88" s="113">
        <f t="shared" si="4"/>
        <v>9435121</v>
      </c>
      <c r="P88" s="113">
        <f t="shared" si="5"/>
        <v>26467117</v>
      </c>
      <c r="Q88" s="84">
        <v>0</v>
      </c>
    </row>
    <row r="89" spans="1:21">
      <c r="A89" s="99"/>
      <c r="B89" s="95"/>
      <c r="C89" s="95"/>
      <c r="D89" s="95"/>
      <c r="E89" s="95"/>
      <c r="I89" s="213"/>
      <c r="J89" s="113">
        <f>L89-L88</f>
        <v>-12175091</v>
      </c>
      <c r="K89" s="213" t="s">
        <v>4834</v>
      </c>
      <c r="L89" s="84">
        <v>680635139</v>
      </c>
      <c r="M89" s="84">
        <v>313005875</v>
      </c>
      <c r="N89" s="113">
        <f t="shared" si="3"/>
        <v>993641014</v>
      </c>
      <c r="O89" s="113">
        <f>M89-M88</f>
        <v>1182704</v>
      </c>
      <c r="P89" s="113">
        <f>N89-N88</f>
        <v>-10992387</v>
      </c>
      <c r="Q89" s="84">
        <v>0</v>
      </c>
    </row>
    <row r="90" spans="1:21">
      <c r="A90" s="99"/>
      <c r="B90" s="95"/>
      <c r="C90" s="95"/>
      <c r="D90" s="95"/>
      <c r="E90" s="95"/>
      <c r="I90" s="190" t="s">
        <v>4859</v>
      </c>
      <c r="J90" s="196">
        <f>L90-L89-1000000</f>
        <v>3840350</v>
      </c>
      <c r="K90" s="190" t="s">
        <v>4841</v>
      </c>
      <c r="L90" s="239">
        <v>685475489</v>
      </c>
      <c r="M90" s="239">
        <v>312030960</v>
      </c>
      <c r="N90" s="196">
        <f t="shared" si="3"/>
        <v>997506449</v>
      </c>
      <c r="O90" s="196">
        <f t="shared" ref="O90:O91" si="6">M90-M89</f>
        <v>-974915</v>
      </c>
      <c r="P90" s="196">
        <f>N90-N89-1000000</f>
        <v>2865435</v>
      </c>
      <c r="Q90" s="84">
        <v>1000000</v>
      </c>
    </row>
    <row r="91" spans="1:21">
      <c r="I91" s="213"/>
      <c r="J91" s="113">
        <f t="shared" ref="J91:J141" si="7">L91-L90</f>
        <v>-12127865</v>
      </c>
      <c r="K91" s="213" t="s">
        <v>4842</v>
      </c>
      <c r="L91" s="84">
        <v>673347624</v>
      </c>
      <c r="M91" s="84">
        <v>308820785</v>
      </c>
      <c r="N91" s="113">
        <f t="shared" si="3"/>
        <v>982168409</v>
      </c>
      <c r="O91" s="113">
        <f t="shared" si="6"/>
        <v>-3210175</v>
      </c>
      <c r="P91" s="113">
        <f t="shared" ref="P91" si="8">N91-N90</f>
        <v>-15338040</v>
      </c>
      <c r="Q91" s="84">
        <v>0</v>
      </c>
    </row>
    <row r="92" spans="1:21">
      <c r="I92" s="213"/>
      <c r="J92" s="113">
        <f t="shared" si="7"/>
        <v>11765514</v>
      </c>
      <c r="K92" s="213" t="s">
        <v>4850</v>
      </c>
      <c r="L92" s="84">
        <v>685113138</v>
      </c>
      <c r="M92" s="84">
        <v>311743933</v>
      </c>
      <c r="N92" s="113">
        <f t="shared" ref="N92:N97" si="9">L92+M92</f>
        <v>996857071</v>
      </c>
      <c r="O92" s="113">
        <f t="shared" ref="O92:O97" si="10">M92-M91</f>
        <v>2923148</v>
      </c>
      <c r="P92" s="113">
        <f t="shared" ref="P92:P97" si="11">N92-N91</f>
        <v>14688662</v>
      </c>
      <c r="Q92" s="84">
        <v>0</v>
      </c>
    </row>
    <row r="93" spans="1:21">
      <c r="D93" s="114">
        <f>B83-B28+L19</f>
        <v>4231628</v>
      </c>
      <c r="I93" s="213"/>
      <c r="J93" s="113">
        <f t="shared" si="7"/>
        <v>2886862</v>
      </c>
      <c r="K93" s="213" t="s">
        <v>4851</v>
      </c>
      <c r="L93" s="84">
        <v>688000000</v>
      </c>
      <c r="M93" s="84">
        <v>312500000</v>
      </c>
      <c r="N93" s="113">
        <f t="shared" si="9"/>
        <v>1000500000</v>
      </c>
      <c r="O93" s="113">
        <f t="shared" si="10"/>
        <v>756067</v>
      </c>
      <c r="P93" s="113">
        <f t="shared" si="11"/>
        <v>3642929</v>
      </c>
      <c r="Q93" s="84">
        <v>0</v>
      </c>
    </row>
    <row r="94" spans="1:21">
      <c r="B94" t="s">
        <v>25</v>
      </c>
      <c r="I94" s="213"/>
      <c r="J94" s="113">
        <f t="shared" si="7"/>
        <v>10450869</v>
      </c>
      <c r="K94" s="213" t="s">
        <v>4852</v>
      </c>
      <c r="L94" s="84">
        <v>698450869</v>
      </c>
      <c r="M94" s="84">
        <v>316326929</v>
      </c>
      <c r="N94" s="220">
        <f t="shared" si="9"/>
        <v>1014777798</v>
      </c>
      <c r="O94" s="113">
        <f t="shared" si="10"/>
        <v>3826929</v>
      </c>
      <c r="P94" s="113">
        <f t="shared" si="11"/>
        <v>14277798</v>
      </c>
      <c r="Q94" s="84">
        <v>0</v>
      </c>
    </row>
    <row r="95" spans="1:21">
      <c r="I95" s="190" t="s">
        <v>4858</v>
      </c>
      <c r="J95" s="196">
        <f>L95-L94-2520000</f>
        <v>-274657</v>
      </c>
      <c r="K95" s="190" t="s">
        <v>4855</v>
      </c>
      <c r="L95" s="239">
        <v>700696212</v>
      </c>
      <c r="M95" s="239">
        <v>314277518</v>
      </c>
      <c r="N95" s="196">
        <f t="shared" si="9"/>
        <v>1014973730</v>
      </c>
      <c r="O95" s="196">
        <f t="shared" si="10"/>
        <v>-2049411</v>
      </c>
      <c r="P95" s="196">
        <f>N95-N94-2520000</f>
        <v>-2324068</v>
      </c>
      <c r="Q95" s="84">
        <v>2520000</v>
      </c>
      <c r="U95" t="s">
        <v>25</v>
      </c>
    </row>
    <row r="96" spans="1:21">
      <c r="D96" t="s">
        <v>25</v>
      </c>
      <c r="E96" t="s">
        <v>25</v>
      </c>
      <c r="I96" s="213"/>
      <c r="J96" s="113">
        <f t="shared" si="7"/>
        <v>3959605</v>
      </c>
      <c r="K96" s="213" t="s">
        <v>4860</v>
      </c>
      <c r="L96" s="84">
        <v>704655817</v>
      </c>
      <c r="M96" s="84">
        <v>315439070</v>
      </c>
      <c r="N96" s="220">
        <f t="shared" si="9"/>
        <v>1020094887</v>
      </c>
      <c r="O96" s="113">
        <f t="shared" si="10"/>
        <v>1161552</v>
      </c>
      <c r="P96" s="113">
        <f t="shared" si="11"/>
        <v>5121157</v>
      </c>
      <c r="Q96" s="84">
        <v>0</v>
      </c>
    </row>
    <row r="97" spans="3:20">
      <c r="I97" s="213"/>
      <c r="J97" s="113">
        <f t="shared" si="7"/>
        <v>4588822</v>
      </c>
      <c r="K97" s="213" t="s">
        <v>4861</v>
      </c>
      <c r="L97" s="84">
        <v>709244639</v>
      </c>
      <c r="M97" s="84">
        <v>318439707</v>
      </c>
      <c r="N97" s="220">
        <f t="shared" si="9"/>
        <v>1027684346</v>
      </c>
      <c r="O97" s="113">
        <f t="shared" si="10"/>
        <v>3000637</v>
      </c>
      <c r="P97" s="113">
        <f t="shared" si="11"/>
        <v>7589459</v>
      </c>
      <c r="Q97" s="84">
        <v>0</v>
      </c>
    </row>
    <row r="98" spans="3:20">
      <c r="I98" s="213"/>
      <c r="J98" s="113">
        <f t="shared" si="7"/>
        <v>-11230604</v>
      </c>
      <c r="K98" s="213" t="s">
        <v>4863</v>
      </c>
      <c r="L98" s="84">
        <v>698014035</v>
      </c>
      <c r="M98" s="84">
        <v>314823372</v>
      </c>
      <c r="N98" s="113">
        <f t="shared" ref="N98:N110" si="12">L98+M98</f>
        <v>1012837407</v>
      </c>
      <c r="O98" s="113">
        <f t="shared" ref="O98:O109" si="13">M98-M97</f>
        <v>-3616335</v>
      </c>
      <c r="P98" s="113">
        <f t="shared" ref="P98:P109" si="14">N98-N97</f>
        <v>-14846939</v>
      </c>
      <c r="Q98" s="84">
        <v>0</v>
      </c>
    </row>
    <row r="99" spans="3:20">
      <c r="I99" s="213"/>
      <c r="J99" s="113">
        <f t="shared" si="7"/>
        <v>6285999</v>
      </c>
      <c r="K99" s="213" t="s">
        <v>4864</v>
      </c>
      <c r="L99" s="84">
        <v>704300034</v>
      </c>
      <c r="M99" s="84">
        <v>315795916</v>
      </c>
      <c r="N99" s="113">
        <f t="shared" si="12"/>
        <v>1020095950</v>
      </c>
      <c r="O99" s="113">
        <f t="shared" si="13"/>
        <v>972544</v>
      </c>
      <c r="P99" s="113">
        <f t="shared" si="14"/>
        <v>7258543</v>
      </c>
      <c r="Q99" s="84">
        <v>0</v>
      </c>
    </row>
    <row r="100" spans="3:20">
      <c r="C100" t="s">
        <v>25</v>
      </c>
      <c r="I100" s="213"/>
      <c r="J100" s="113">
        <f t="shared" si="7"/>
        <v>17278812</v>
      </c>
      <c r="K100" s="213" t="s">
        <v>4866</v>
      </c>
      <c r="L100" s="84">
        <v>721578846</v>
      </c>
      <c r="M100" s="84">
        <v>322263065</v>
      </c>
      <c r="N100" s="220">
        <f t="shared" si="12"/>
        <v>1043841911</v>
      </c>
      <c r="O100" s="113">
        <f t="shared" si="13"/>
        <v>6467149</v>
      </c>
      <c r="P100" s="113">
        <f t="shared" si="14"/>
        <v>23745961</v>
      </c>
      <c r="Q100" s="84">
        <v>0</v>
      </c>
    </row>
    <row r="101" spans="3:20">
      <c r="I101" s="213"/>
      <c r="J101" s="113">
        <f t="shared" si="7"/>
        <v>287745</v>
      </c>
      <c r="K101" s="213" t="s">
        <v>4867</v>
      </c>
      <c r="L101" s="84">
        <v>721866591</v>
      </c>
      <c r="M101" s="84">
        <v>321203407</v>
      </c>
      <c r="N101" s="113">
        <f t="shared" si="12"/>
        <v>1043069998</v>
      </c>
      <c r="O101" s="113">
        <f t="shared" si="13"/>
        <v>-1059658</v>
      </c>
      <c r="P101" s="113">
        <f t="shared" si="14"/>
        <v>-771913</v>
      </c>
      <c r="Q101" s="84">
        <v>0</v>
      </c>
    </row>
    <row r="102" spans="3:20">
      <c r="I102" s="213"/>
      <c r="J102" s="113">
        <f t="shared" si="7"/>
        <v>-5866591</v>
      </c>
      <c r="K102" s="213" t="s">
        <v>4870</v>
      </c>
      <c r="L102" s="84">
        <v>716000000</v>
      </c>
      <c r="M102" s="84">
        <v>319000000</v>
      </c>
      <c r="N102" s="113">
        <f t="shared" si="12"/>
        <v>1035000000</v>
      </c>
      <c r="O102" s="113">
        <f t="shared" si="13"/>
        <v>-2203407</v>
      </c>
      <c r="P102" s="113">
        <f t="shared" si="14"/>
        <v>-8069998</v>
      </c>
      <c r="Q102" s="84">
        <v>0</v>
      </c>
    </row>
    <row r="103" spans="3:20">
      <c r="I103" s="213"/>
      <c r="J103" s="113">
        <f t="shared" si="7"/>
        <v>288384</v>
      </c>
      <c r="K103" s="213" t="s">
        <v>4869</v>
      </c>
      <c r="L103" s="84">
        <v>716288384</v>
      </c>
      <c r="M103" s="84">
        <v>320388494</v>
      </c>
      <c r="N103" s="113">
        <f t="shared" si="12"/>
        <v>1036676878</v>
      </c>
      <c r="O103" s="113">
        <f t="shared" si="13"/>
        <v>1388494</v>
      </c>
      <c r="P103" s="113">
        <f t="shared" si="14"/>
        <v>1676878</v>
      </c>
      <c r="Q103" s="84">
        <v>0</v>
      </c>
    </row>
    <row r="104" spans="3:20">
      <c r="I104" s="190" t="s">
        <v>4913</v>
      </c>
      <c r="J104" s="196">
        <f>L104-L103-1400000</f>
        <v>-1688384</v>
      </c>
      <c r="K104" s="190" t="s">
        <v>4910</v>
      </c>
      <c r="L104" s="239">
        <v>716000000</v>
      </c>
      <c r="M104" s="239">
        <v>322000000</v>
      </c>
      <c r="N104" s="196">
        <f t="shared" si="12"/>
        <v>1038000000</v>
      </c>
      <c r="O104" s="196">
        <f t="shared" si="13"/>
        <v>1611506</v>
      </c>
      <c r="P104" s="196">
        <f>N104-N103-1400000</f>
        <v>-76878</v>
      </c>
      <c r="Q104" s="84">
        <v>1400000</v>
      </c>
    </row>
    <row r="105" spans="3:20">
      <c r="I105" s="213"/>
      <c r="J105" s="113">
        <f t="shared" si="7"/>
        <v>8529471</v>
      </c>
      <c r="K105" s="213" t="s">
        <v>4912</v>
      </c>
      <c r="L105" s="84">
        <v>724529471</v>
      </c>
      <c r="M105" s="84">
        <v>326836192</v>
      </c>
      <c r="N105" s="220">
        <f t="shared" si="12"/>
        <v>1051365663</v>
      </c>
      <c r="O105" s="113">
        <f t="shared" si="13"/>
        <v>4836192</v>
      </c>
      <c r="P105" s="113">
        <f t="shared" si="14"/>
        <v>13365663</v>
      </c>
      <c r="Q105" s="84">
        <v>0</v>
      </c>
    </row>
    <row r="106" spans="3:20">
      <c r="I106" s="189" t="s">
        <v>4915</v>
      </c>
      <c r="J106" s="188">
        <f>L106-L105-1550000</f>
        <v>16319322</v>
      </c>
      <c r="K106" s="189" t="s">
        <v>4914</v>
      </c>
      <c r="L106" s="237">
        <v>742398793</v>
      </c>
      <c r="M106" s="237">
        <v>333388204</v>
      </c>
      <c r="N106" s="220">
        <f t="shared" si="12"/>
        <v>1075786997</v>
      </c>
      <c r="O106" s="188">
        <f>M106-M105-1550000</f>
        <v>5002012</v>
      </c>
      <c r="P106" s="188">
        <f>N106-N105-3100000</f>
        <v>21321334</v>
      </c>
      <c r="Q106" s="84">
        <v>3100000</v>
      </c>
    </row>
    <row r="107" spans="3:20">
      <c r="I107" s="213"/>
      <c r="J107" s="113">
        <f t="shared" si="7"/>
        <v>7585832</v>
      </c>
      <c r="K107" s="213" t="s">
        <v>4916</v>
      </c>
      <c r="L107" s="84">
        <v>749984625</v>
      </c>
      <c r="M107" s="84">
        <v>336802679</v>
      </c>
      <c r="N107" s="220">
        <f t="shared" si="12"/>
        <v>1086787304</v>
      </c>
      <c r="O107" s="113">
        <f t="shared" si="13"/>
        <v>3414475</v>
      </c>
      <c r="P107" s="113">
        <f t="shared" si="14"/>
        <v>11000307</v>
      </c>
      <c r="Q107" s="84">
        <v>0</v>
      </c>
    </row>
    <row r="108" spans="3:20">
      <c r="I108" s="189" t="s">
        <v>4919</v>
      </c>
      <c r="J108" s="188">
        <f>L108-L107-250000</f>
        <v>9825827</v>
      </c>
      <c r="K108" s="189" t="s">
        <v>4862</v>
      </c>
      <c r="L108" s="237">
        <v>760060452</v>
      </c>
      <c r="M108" s="237">
        <v>342834562</v>
      </c>
      <c r="N108" s="220">
        <f t="shared" si="12"/>
        <v>1102895014</v>
      </c>
      <c r="O108" s="188">
        <f t="shared" si="13"/>
        <v>6031883</v>
      </c>
      <c r="P108" s="188">
        <f>N108-N107-250000</f>
        <v>15857710</v>
      </c>
      <c r="Q108" s="84">
        <v>250000</v>
      </c>
    </row>
    <row r="109" spans="3:20">
      <c r="I109" s="213"/>
      <c r="J109" s="113">
        <f t="shared" si="7"/>
        <v>4204925</v>
      </c>
      <c r="K109" s="213" t="s">
        <v>4920</v>
      </c>
      <c r="L109" s="84">
        <v>764265377</v>
      </c>
      <c r="M109" s="84">
        <v>346850621</v>
      </c>
      <c r="N109" s="220">
        <f t="shared" si="12"/>
        <v>1111115998</v>
      </c>
      <c r="O109" s="113">
        <f t="shared" si="13"/>
        <v>4016059</v>
      </c>
      <c r="P109" s="113">
        <f t="shared" si="14"/>
        <v>8220984</v>
      </c>
      <c r="Q109" s="84">
        <v>0</v>
      </c>
    </row>
    <row r="110" spans="3:20" ht="30">
      <c r="I110" s="243" t="s">
        <v>4927</v>
      </c>
      <c r="J110" s="244">
        <f>L110-L109+48527480</f>
        <v>-4646184</v>
      </c>
      <c r="K110" s="216" t="s">
        <v>4924</v>
      </c>
      <c r="L110" s="245">
        <v>711091713</v>
      </c>
      <c r="M110" s="245">
        <v>365802118</v>
      </c>
      <c r="N110" s="244">
        <f t="shared" si="12"/>
        <v>1076893831</v>
      </c>
      <c r="O110" s="244">
        <f>M110-M109+2668880-50000000</f>
        <v>-28379623</v>
      </c>
      <c r="P110" s="244">
        <f>N110-N109-50000000+48527480+2668880</f>
        <v>-33025807</v>
      </c>
      <c r="Q110" s="84">
        <v>-1196360</v>
      </c>
    </row>
    <row r="111" spans="3:20">
      <c r="I111" s="213"/>
      <c r="J111" s="113">
        <f t="shared" si="7"/>
        <v>12126436</v>
      </c>
      <c r="K111" s="213" t="s">
        <v>4929</v>
      </c>
      <c r="L111" s="84">
        <v>723218149</v>
      </c>
      <c r="M111" s="84">
        <v>378192152</v>
      </c>
      <c r="N111" s="113">
        <f t="shared" ref="N111:N122" si="15">L111+M111</f>
        <v>1101410301</v>
      </c>
      <c r="O111" s="113">
        <f t="shared" ref="O111:O144" si="16">M111-M110</f>
        <v>12390034</v>
      </c>
      <c r="P111" s="113">
        <f t="shared" ref="P111:P141" si="17">N111-N110</f>
        <v>24516470</v>
      </c>
      <c r="Q111" s="84">
        <v>0</v>
      </c>
    </row>
    <row r="112" spans="3:20">
      <c r="I112" s="189" t="s">
        <v>4935</v>
      </c>
      <c r="J112" s="188">
        <f t="shared" si="7"/>
        <v>-11559770</v>
      </c>
      <c r="K112" s="189" t="s">
        <v>4930</v>
      </c>
      <c r="L112" s="237">
        <v>711658379</v>
      </c>
      <c r="M112" s="237">
        <v>375825031</v>
      </c>
      <c r="N112" s="188">
        <f t="shared" si="15"/>
        <v>1087483410</v>
      </c>
      <c r="O112" s="188">
        <f>M112-M111-400000</f>
        <v>-2767121</v>
      </c>
      <c r="P112" s="188">
        <f>N112-N111-400000</f>
        <v>-14326891</v>
      </c>
      <c r="Q112" s="84">
        <v>400000</v>
      </c>
      <c r="T112" t="s">
        <v>25</v>
      </c>
    </row>
    <row r="113" spans="9:19">
      <c r="I113" s="213" t="s">
        <v>4938</v>
      </c>
      <c r="J113" s="113">
        <f t="shared" si="7"/>
        <v>-47970668</v>
      </c>
      <c r="K113" s="213" t="s">
        <v>4937</v>
      </c>
      <c r="L113" s="84">
        <v>663687711</v>
      </c>
      <c r="M113" s="84">
        <v>375638602</v>
      </c>
      <c r="N113" s="113">
        <f t="shared" si="15"/>
        <v>1039326313</v>
      </c>
      <c r="O113" s="113">
        <f t="shared" si="16"/>
        <v>-186429</v>
      </c>
      <c r="P113" s="113">
        <f t="shared" si="17"/>
        <v>-48157097</v>
      </c>
      <c r="Q113" s="84">
        <v>0</v>
      </c>
      <c r="S113" t="s">
        <v>25</v>
      </c>
    </row>
    <row r="114" spans="9:19">
      <c r="I114" s="213"/>
      <c r="J114" s="113">
        <f t="shared" si="7"/>
        <v>9507166</v>
      </c>
      <c r="K114" s="213" t="s">
        <v>4940</v>
      </c>
      <c r="L114" s="84">
        <v>673194877</v>
      </c>
      <c r="M114" s="84">
        <v>380477962</v>
      </c>
      <c r="N114" s="113">
        <f t="shared" si="15"/>
        <v>1053672839</v>
      </c>
      <c r="O114" s="113">
        <f t="shared" si="16"/>
        <v>4839360</v>
      </c>
      <c r="P114" s="113">
        <f t="shared" si="17"/>
        <v>14346526</v>
      </c>
      <c r="Q114" s="84">
        <v>0</v>
      </c>
    </row>
    <row r="115" spans="9:19">
      <c r="I115" s="213"/>
      <c r="J115" s="113">
        <f t="shared" si="7"/>
        <v>351502</v>
      </c>
      <c r="K115" s="213" t="s">
        <v>4941</v>
      </c>
      <c r="L115" s="84">
        <v>673546379</v>
      </c>
      <c r="M115" s="84">
        <v>385390359</v>
      </c>
      <c r="N115" s="113">
        <f t="shared" si="15"/>
        <v>1058936738</v>
      </c>
      <c r="O115" s="113">
        <f t="shared" si="16"/>
        <v>4912397</v>
      </c>
      <c r="P115" s="113">
        <f t="shared" si="17"/>
        <v>5263899</v>
      </c>
      <c r="Q115" s="84">
        <v>0</v>
      </c>
    </row>
    <row r="116" spans="9:19">
      <c r="I116" s="189" t="s">
        <v>4944</v>
      </c>
      <c r="J116" s="188">
        <f t="shared" si="7"/>
        <v>-3653734</v>
      </c>
      <c r="K116" s="189" t="s">
        <v>4942</v>
      </c>
      <c r="L116" s="237">
        <v>669892645</v>
      </c>
      <c r="M116" s="237">
        <v>383350206</v>
      </c>
      <c r="N116" s="188">
        <f>L116+M116</f>
        <v>1053242851</v>
      </c>
      <c r="O116" s="188">
        <f>M116-M115-2000000</f>
        <v>-4040153</v>
      </c>
      <c r="P116" s="188">
        <f>N116-N115-2000000</f>
        <v>-7693887</v>
      </c>
      <c r="Q116" s="84">
        <v>2000000</v>
      </c>
    </row>
    <row r="117" spans="9:19">
      <c r="I117" s="189" t="s">
        <v>4947</v>
      </c>
      <c r="J117" s="188">
        <f t="shared" si="7"/>
        <v>-492645</v>
      </c>
      <c r="K117" s="189" t="s">
        <v>4945</v>
      </c>
      <c r="L117" s="237">
        <v>669400000</v>
      </c>
      <c r="M117" s="237">
        <v>385000000</v>
      </c>
      <c r="N117" s="188">
        <f t="shared" si="15"/>
        <v>1054400000</v>
      </c>
      <c r="O117" s="188">
        <f>M117-M116-100000</f>
        <v>1549794</v>
      </c>
      <c r="P117" s="188">
        <f>N117-N116-100000</f>
        <v>1057149</v>
      </c>
      <c r="Q117" s="84">
        <v>100000</v>
      </c>
    </row>
    <row r="118" spans="9:19">
      <c r="I118" s="213"/>
      <c r="J118" s="113">
        <f t="shared" si="7"/>
        <v>7765061</v>
      </c>
      <c r="K118" s="213" t="s">
        <v>4948</v>
      </c>
      <c r="L118" s="84">
        <v>677165061</v>
      </c>
      <c r="M118" s="84">
        <v>392704452</v>
      </c>
      <c r="N118" s="113">
        <f t="shared" si="15"/>
        <v>1069869513</v>
      </c>
      <c r="O118" s="113">
        <f t="shared" si="16"/>
        <v>7704452</v>
      </c>
      <c r="P118" s="113">
        <f t="shared" si="17"/>
        <v>15469513</v>
      </c>
      <c r="Q118" s="84">
        <v>0</v>
      </c>
    </row>
    <row r="119" spans="9:19">
      <c r="I119" s="213"/>
      <c r="J119" s="113">
        <f t="shared" si="7"/>
        <v>7834939</v>
      </c>
      <c r="K119" s="213" t="s">
        <v>4949</v>
      </c>
      <c r="L119" s="84">
        <v>685000000</v>
      </c>
      <c r="M119" s="84">
        <v>395000000</v>
      </c>
      <c r="N119" s="113">
        <f t="shared" si="15"/>
        <v>1080000000</v>
      </c>
      <c r="O119" s="113">
        <f t="shared" si="16"/>
        <v>2295548</v>
      </c>
      <c r="P119" s="113">
        <f t="shared" si="17"/>
        <v>10130487</v>
      </c>
      <c r="Q119" s="84">
        <v>0</v>
      </c>
    </row>
    <row r="120" spans="9:19">
      <c r="I120" s="189" t="s">
        <v>4952</v>
      </c>
      <c r="J120" s="188">
        <f>L120-L119-2100000</f>
        <v>2603523</v>
      </c>
      <c r="K120" s="189" t="s">
        <v>4951</v>
      </c>
      <c r="L120" s="237">
        <v>689703523</v>
      </c>
      <c r="M120" s="237">
        <v>399879880</v>
      </c>
      <c r="N120" s="188">
        <f t="shared" si="15"/>
        <v>1089583403</v>
      </c>
      <c r="O120" s="188">
        <f t="shared" si="16"/>
        <v>4879880</v>
      </c>
      <c r="P120" s="188">
        <f>N120-N119-2100000</f>
        <v>7483403</v>
      </c>
      <c r="Q120" s="84">
        <v>2100000</v>
      </c>
    </row>
    <row r="121" spans="9:19">
      <c r="I121" s="189" t="s">
        <v>4955</v>
      </c>
      <c r="J121" s="188">
        <f>L121-L120-100000</f>
        <v>1223636</v>
      </c>
      <c r="K121" s="189" t="s">
        <v>4954</v>
      </c>
      <c r="L121" s="237">
        <v>691027159</v>
      </c>
      <c r="M121" s="237">
        <v>401920713</v>
      </c>
      <c r="N121" s="188">
        <f t="shared" si="15"/>
        <v>1092947872</v>
      </c>
      <c r="O121" s="188">
        <f>M121-M120-100000</f>
        <v>1940833</v>
      </c>
      <c r="P121" s="188">
        <f>N121-N120-200000</f>
        <v>3164469</v>
      </c>
      <c r="Q121" s="84">
        <v>200000</v>
      </c>
    </row>
    <row r="122" spans="9:19">
      <c r="I122" s="213"/>
      <c r="J122" s="113">
        <f t="shared" si="7"/>
        <v>-3258218</v>
      </c>
      <c r="K122" s="213" t="s">
        <v>4957</v>
      </c>
      <c r="L122" s="84">
        <v>687768941</v>
      </c>
      <c r="M122" s="84">
        <v>400952125</v>
      </c>
      <c r="N122" s="113">
        <f t="shared" si="15"/>
        <v>1088721066</v>
      </c>
      <c r="O122" s="113">
        <f t="shared" si="16"/>
        <v>-968588</v>
      </c>
      <c r="P122" s="113">
        <f t="shared" si="17"/>
        <v>-4226806</v>
      </c>
      <c r="Q122" s="229">
        <v>0</v>
      </c>
    </row>
    <row r="123" spans="9:19">
      <c r="I123" s="189" t="s">
        <v>4963</v>
      </c>
      <c r="J123" s="188">
        <f>L123-L122-115000</f>
        <v>-1004989</v>
      </c>
      <c r="K123" s="189" t="s">
        <v>4959</v>
      </c>
      <c r="L123" s="237">
        <v>686878952</v>
      </c>
      <c r="M123" s="237">
        <v>402566982</v>
      </c>
      <c r="N123" s="188">
        <f>L123+M123</f>
        <v>1089445934</v>
      </c>
      <c r="O123" s="188">
        <f>M123-M122-115000</f>
        <v>1499857</v>
      </c>
      <c r="P123" s="188">
        <f>N123-N122-230000</f>
        <v>494868</v>
      </c>
      <c r="Q123" s="229">
        <v>230000</v>
      </c>
    </row>
    <row r="124" spans="9:19">
      <c r="I124" s="189" t="s">
        <v>4966</v>
      </c>
      <c r="J124" s="188">
        <f>L124-L123-900000</f>
        <v>16455514</v>
      </c>
      <c r="K124" s="189" t="s">
        <v>4965</v>
      </c>
      <c r="L124" s="237">
        <v>704234466</v>
      </c>
      <c r="M124" s="237">
        <v>413359717</v>
      </c>
      <c r="N124" s="220">
        <f t="shared" ref="N124:N145" si="18">L124+M124</f>
        <v>1117594183</v>
      </c>
      <c r="O124" s="188">
        <f t="shared" si="16"/>
        <v>10792735</v>
      </c>
      <c r="P124" s="188">
        <f>N124-N123-900000</f>
        <v>27248249</v>
      </c>
      <c r="Q124" s="229">
        <v>900000</v>
      </c>
    </row>
    <row r="125" spans="9:19">
      <c r="I125" s="189" t="s">
        <v>4969</v>
      </c>
      <c r="J125" s="188">
        <f>L125-L124-241774</f>
        <v>7847987</v>
      </c>
      <c r="K125" s="189" t="s">
        <v>4967</v>
      </c>
      <c r="L125" s="237">
        <v>712324227</v>
      </c>
      <c r="M125" s="237">
        <v>416450606</v>
      </c>
      <c r="N125" s="220">
        <f>L125+M125</f>
        <v>1128774833</v>
      </c>
      <c r="O125" s="188">
        <f>M125-M124-50000</f>
        <v>3040889</v>
      </c>
      <c r="P125" s="188">
        <f>N125-N124-291774</f>
        <v>10888876</v>
      </c>
      <c r="Q125" s="229">
        <v>291774</v>
      </c>
    </row>
    <row r="126" spans="9:19">
      <c r="I126" s="189" t="s">
        <v>4978</v>
      </c>
      <c r="J126" s="188">
        <f>L126-L125-5701774</f>
        <v>-18426154</v>
      </c>
      <c r="K126" s="189" t="s">
        <v>4977</v>
      </c>
      <c r="L126" s="237">
        <v>699599847</v>
      </c>
      <c r="M126" s="237">
        <v>407446033</v>
      </c>
      <c r="N126" s="188">
        <f t="shared" si="18"/>
        <v>1107045880</v>
      </c>
      <c r="O126" s="188">
        <f>M126-M125-50000</f>
        <v>-9054573</v>
      </c>
      <c r="P126" s="188">
        <f>N126-N125-5751774</f>
        <v>-27480727</v>
      </c>
      <c r="Q126" s="229">
        <v>5751774</v>
      </c>
    </row>
    <row r="127" spans="9:19">
      <c r="I127" s="246" t="s">
        <v>4984</v>
      </c>
      <c r="J127" s="247">
        <f t="shared" si="7"/>
        <v>9831878</v>
      </c>
      <c r="K127" s="246" t="s">
        <v>4979</v>
      </c>
      <c r="L127" s="248">
        <v>709431725</v>
      </c>
      <c r="M127" s="248">
        <v>415572724</v>
      </c>
      <c r="N127" s="247">
        <f t="shared" si="18"/>
        <v>1125004449</v>
      </c>
      <c r="O127" s="247">
        <f>M127-M126-25000</f>
        <v>8101691</v>
      </c>
      <c r="P127" s="247">
        <f>N127-N126-25000</f>
        <v>17933569</v>
      </c>
      <c r="Q127" s="229">
        <v>25000</v>
      </c>
    </row>
    <row r="128" spans="9:19">
      <c r="I128" s="99"/>
      <c r="J128" s="113">
        <f t="shared" si="7"/>
        <v>3212707</v>
      </c>
      <c r="K128" s="213" t="s">
        <v>4985</v>
      </c>
      <c r="L128" s="84">
        <v>712644432</v>
      </c>
      <c r="M128" s="84">
        <v>416860968</v>
      </c>
      <c r="N128" s="113">
        <f t="shared" si="18"/>
        <v>1129505400</v>
      </c>
      <c r="O128" s="113">
        <f t="shared" si="16"/>
        <v>1288244</v>
      </c>
      <c r="P128" s="113">
        <f t="shared" si="17"/>
        <v>4500951</v>
      </c>
      <c r="Q128" s="229">
        <v>0</v>
      </c>
    </row>
    <row r="129" spans="9:30">
      <c r="I129" s="19"/>
      <c r="J129" s="117">
        <f t="shared" si="7"/>
        <v>3661985</v>
      </c>
      <c r="K129" s="19" t="s">
        <v>4986</v>
      </c>
      <c r="L129" s="250">
        <v>716306417</v>
      </c>
      <c r="M129" s="250">
        <v>419768145</v>
      </c>
      <c r="N129" s="220">
        <f>L129+M129</f>
        <v>1136074562</v>
      </c>
      <c r="O129" s="117">
        <f>M129-M128</f>
        <v>2907177</v>
      </c>
      <c r="P129" s="117">
        <f>N129-N128</f>
        <v>6569162</v>
      </c>
      <c r="Q129" s="229">
        <v>0</v>
      </c>
    </row>
    <row r="130" spans="9:30">
      <c r="I130" s="189" t="s">
        <v>4990</v>
      </c>
      <c r="J130" s="188">
        <f t="shared" si="7"/>
        <v>-9284823</v>
      </c>
      <c r="K130" s="189" t="s">
        <v>4988</v>
      </c>
      <c r="L130" s="237">
        <v>707021594</v>
      </c>
      <c r="M130" s="237">
        <v>420305454</v>
      </c>
      <c r="N130" s="188">
        <f t="shared" si="18"/>
        <v>1127327048</v>
      </c>
      <c r="O130" s="188">
        <f>M130-M129-6800000</f>
        <v>-6262691</v>
      </c>
      <c r="P130" s="188">
        <f>N130-N129-6800000</f>
        <v>-15547514</v>
      </c>
      <c r="Q130" s="229">
        <v>6800000</v>
      </c>
      <c r="S130" t="s">
        <v>25</v>
      </c>
    </row>
    <row r="131" spans="9:30">
      <c r="I131" s="189" t="s">
        <v>4996</v>
      </c>
      <c r="J131" s="188">
        <f t="shared" si="7"/>
        <v>2112595</v>
      </c>
      <c r="K131" s="189" t="s">
        <v>4991</v>
      </c>
      <c r="L131" s="237">
        <v>709134189</v>
      </c>
      <c r="M131" s="237">
        <v>421097153</v>
      </c>
      <c r="N131" s="188">
        <f t="shared" si="18"/>
        <v>1130231342</v>
      </c>
      <c r="O131" s="188">
        <f>M131-M130-500000</f>
        <v>291699</v>
      </c>
      <c r="P131" s="188">
        <f>N131-N130-500000</f>
        <v>2404294</v>
      </c>
      <c r="Q131" s="229">
        <v>500000</v>
      </c>
      <c r="S131" t="s">
        <v>25</v>
      </c>
    </row>
    <row r="132" spans="9:30">
      <c r="I132" s="246" t="s">
        <v>4999</v>
      </c>
      <c r="J132" s="247">
        <f t="shared" si="7"/>
        <v>1064287</v>
      </c>
      <c r="K132" s="246" t="s">
        <v>4997</v>
      </c>
      <c r="L132" s="248">
        <v>710198476</v>
      </c>
      <c r="M132" s="248">
        <v>422434338</v>
      </c>
      <c r="N132" s="247">
        <f t="shared" si="18"/>
        <v>1132632814</v>
      </c>
      <c r="O132" s="247">
        <f>M132-M131-850000</f>
        <v>487185</v>
      </c>
      <c r="P132" s="247">
        <f>N132-N131-850000</f>
        <v>1551472</v>
      </c>
      <c r="Q132" s="229">
        <v>850000</v>
      </c>
    </row>
    <row r="133" spans="9:30">
      <c r="I133" s="213"/>
      <c r="J133" s="113">
        <f t="shared" si="7"/>
        <v>12623812</v>
      </c>
      <c r="K133" s="213" t="s">
        <v>5003</v>
      </c>
      <c r="L133" s="84">
        <v>722822288</v>
      </c>
      <c r="M133" s="84">
        <v>429606125</v>
      </c>
      <c r="N133" s="220">
        <f t="shared" si="18"/>
        <v>1152428413</v>
      </c>
      <c r="O133" s="113">
        <f t="shared" si="16"/>
        <v>7171787</v>
      </c>
      <c r="P133" s="113">
        <f t="shared" si="17"/>
        <v>19795599</v>
      </c>
      <c r="Q133" s="229">
        <v>0</v>
      </c>
    </row>
    <row r="134" spans="9:30">
      <c r="I134" s="213"/>
      <c r="J134" s="113">
        <f t="shared" si="7"/>
        <v>21458282</v>
      </c>
      <c r="K134" s="213" t="s">
        <v>5004</v>
      </c>
      <c r="L134" s="84">
        <v>744280570</v>
      </c>
      <c r="M134" s="84">
        <v>440002399</v>
      </c>
      <c r="N134" s="220">
        <f t="shared" si="18"/>
        <v>1184282969</v>
      </c>
      <c r="O134" s="113">
        <f t="shared" si="16"/>
        <v>10396274</v>
      </c>
      <c r="P134" s="113">
        <f t="shared" si="17"/>
        <v>31854556</v>
      </c>
      <c r="Q134" s="229">
        <v>0</v>
      </c>
    </row>
    <row r="135" spans="9:30">
      <c r="I135" s="189" t="s">
        <v>5018</v>
      </c>
      <c r="J135" s="188">
        <f>L135-L134-1130250</f>
        <v>-410820</v>
      </c>
      <c r="K135" s="189" t="s">
        <v>5006</v>
      </c>
      <c r="L135" s="237">
        <v>745000000</v>
      </c>
      <c r="M135" s="237">
        <v>437000000</v>
      </c>
      <c r="N135" s="188">
        <f t="shared" si="18"/>
        <v>1182000000</v>
      </c>
      <c r="O135" s="188">
        <f>M135-M134-1130250</f>
        <v>-4132649</v>
      </c>
      <c r="P135" s="188">
        <f>N135-N134-2260500</f>
        <v>-4543469</v>
      </c>
      <c r="Q135" s="229">
        <v>2260500</v>
      </c>
    </row>
    <row r="136" spans="9:30">
      <c r="I136" s="213"/>
      <c r="J136" s="113">
        <f t="shared" si="7"/>
        <v>-6610338</v>
      </c>
      <c r="K136" s="213" t="s">
        <v>5009</v>
      </c>
      <c r="L136" s="84">
        <v>738389662</v>
      </c>
      <c r="M136" s="84">
        <v>433994737</v>
      </c>
      <c r="N136" s="113">
        <f t="shared" si="18"/>
        <v>1172384399</v>
      </c>
      <c r="O136" s="113">
        <f t="shared" si="16"/>
        <v>-3005263</v>
      </c>
      <c r="P136" s="113">
        <f t="shared" si="17"/>
        <v>-9615601</v>
      </c>
      <c r="Q136" s="229">
        <v>0</v>
      </c>
    </row>
    <row r="137" spans="9:30">
      <c r="I137" s="213"/>
      <c r="J137" s="113">
        <f t="shared" si="7"/>
        <v>-6184317</v>
      </c>
      <c r="K137" s="213" t="s">
        <v>5012</v>
      </c>
      <c r="L137" s="84">
        <v>732205345</v>
      </c>
      <c r="M137" s="84">
        <v>433540549</v>
      </c>
      <c r="N137" s="113">
        <f t="shared" si="18"/>
        <v>1165745894</v>
      </c>
      <c r="O137" s="113">
        <f t="shared" si="16"/>
        <v>-454188</v>
      </c>
      <c r="P137" s="113">
        <f t="shared" si="17"/>
        <v>-6638505</v>
      </c>
      <c r="Q137" s="229">
        <v>0</v>
      </c>
    </row>
    <row r="138" spans="9:30">
      <c r="I138" s="213"/>
      <c r="J138" s="113">
        <f t="shared" si="7"/>
        <v>4122409</v>
      </c>
      <c r="K138" s="213" t="s">
        <v>5014</v>
      </c>
      <c r="L138" s="84">
        <v>736327754</v>
      </c>
      <c r="M138" s="84">
        <v>439057094</v>
      </c>
      <c r="N138" s="113">
        <f t="shared" si="18"/>
        <v>1175384848</v>
      </c>
      <c r="O138" s="113">
        <f t="shared" si="16"/>
        <v>5516545</v>
      </c>
      <c r="P138" s="113">
        <f t="shared" si="17"/>
        <v>9638954</v>
      </c>
      <c r="Q138" s="229">
        <v>0</v>
      </c>
      <c r="X138" s="96"/>
      <c r="Y138" s="96"/>
      <c r="Z138" s="96" t="s">
        <v>4629</v>
      </c>
      <c r="AA138" s="96"/>
    </row>
    <row r="139" spans="9:30">
      <c r="I139" s="189" t="s">
        <v>5017</v>
      </c>
      <c r="J139" s="188">
        <f>L139-L138-206000</f>
        <v>15013287</v>
      </c>
      <c r="K139" s="189" t="s">
        <v>5016</v>
      </c>
      <c r="L139" s="237">
        <v>751547041</v>
      </c>
      <c r="M139" s="237">
        <v>448656068</v>
      </c>
      <c r="N139" s="220">
        <f t="shared" si="18"/>
        <v>1200203109</v>
      </c>
      <c r="O139" s="188">
        <f>M139-M138-206000</f>
        <v>9392974</v>
      </c>
      <c r="P139" s="188">
        <f>N139-N138-412000</f>
        <v>24406261</v>
      </c>
      <c r="Q139" s="229">
        <v>412000</v>
      </c>
      <c r="X139" s="96"/>
      <c r="Y139" s="96"/>
      <c r="Z139" s="96" t="s">
        <v>4630</v>
      </c>
      <c r="AA139" s="207">
        <v>35441</v>
      </c>
      <c r="AD139" t="s">
        <v>25</v>
      </c>
    </row>
    <row r="140" spans="9:30" ht="90">
      <c r="I140" s="246" t="s">
        <v>5022</v>
      </c>
      <c r="J140" s="247">
        <f>L140-L139-50000</f>
        <v>22852739</v>
      </c>
      <c r="K140" s="246" t="s">
        <v>5021</v>
      </c>
      <c r="L140" s="248">
        <v>774449780</v>
      </c>
      <c r="M140" s="248">
        <v>460796198</v>
      </c>
      <c r="N140" s="220">
        <f t="shared" si="18"/>
        <v>1235245978</v>
      </c>
      <c r="O140" s="247">
        <f>M140-M139-50000</f>
        <v>12090130</v>
      </c>
      <c r="P140" s="247">
        <f>N140-N139-100000</f>
        <v>34942869</v>
      </c>
      <c r="Q140" s="229">
        <v>100000</v>
      </c>
      <c r="X140" s="22" t="s">
        <v>4633</v>
      </c>
      <c r="Y140" s="22" t="s">
        <v>4632</v>
      </c>
      <c r="Z140" s="22" t="s">
        <v>4631</v>
      </c>
      <c r="AA140" s="22" t="s">
        <v>4634</v>
      </c>
    </row>
    <row r="141" spans="9:30">
      <c r="I141" s="213"/>
      <c r="J141" s="113">
        <f t="shared" si="7"/>
        <v>13614989</v>
      </c>
      <c r="K141" s="213" t="s">
        <v>5024</v>
      </c>
      <c r="L141" s="84">
        <v>788064769</v>
      </c>
      <c r="M141" s="84">
        <v>470434493</v>
      </c>
      <c r="N141" s="220">
        <f t="shared" si="18"/>
        <v>1258499262</v>
      </c>
      <c r="O141" s="113">
        <f t="shared" si="16"/>
        <v>9638295</v>
      </c>
      <c r="P141" s="113">
        <f t="shared" si="17"/>
        <v>23253284</v>
      </c>
      <c r="Q141" s="229">
        <v>0</v>
      </c>
    </row>
    <row r="142" spans="9:30">
      <c r="I142" s="189" t="s">
        <v>5027</v>
      </c>
      <c r="J142" s="188">
        <f>L142-L141-105000</f>
        <v>7274368</v>
      </c>
      <c r="K142" s="189" t="s">
        <v>5025</v>
      </c>
      <c r="L142" s="237">
        <v>795444137</v>
      </c>
      <c r="M142" s="237">
        <v>496046411</v>
      </c>
      <c r="N142" s="220">
        <f t="shared" si="18"/>
        <v>1291490548</v>
      </c>
      <c r="O142" s="188">
        <f>M142-M141-20000000</f>
        <v>5611918</v>
      </c>
      <c r="P142" s="188">
        <f>N142-N141-20105000</f>
        <v>12886286</v>
      </c>
      <c r="Q142" s="229">
        <v>20105000</v>
      </c>
    </row>
    <row r="143" spans="9:30">
      <c r="I143" s="260" t="s">
        <v>5033</v>
      </c>
      <c r="J143" s="261">
        <f>L143-L142+21285588</f>
        <v>17942685</v>
      </c>
      <c r="K143" s="260" t="s">
        <v>5029</v>
      </c>
      <c r="L143" s="262">
        <v>792101234</v>
      </c>
      <c r="M143" s="262">
        <v>504721695</v>
      </c>
      <c r="N143" s="220">
        <f t="shared" si="18"/>
        <v>1296822929</v>
      </c>
      <c r="O143" s="261">
        <f t="shared" si="16"/>
        <v>8675284</v>
      </c>
      <c r="P143" s="261">
        <f>N143-N142+21285588</f>
        <v>26617969</v>
      </c>
      <c r="Q143" s="229">
        <v>-21285588</v>
      </c>
    </row>
    <row r="144" spans="9:30">
      <c r="I144" s="260" t="s">
        <v>5034</v>
      </c>
      <c r="J144" s="261">
        <f>L144-L143+5949277</f>
        <v>6616903</v>
      </c>
      <c r="K144" s="260" t="s">
        <v>5030</v>
      </c>
      <c r="L144" s="262">
        <v>792768860</v>
      </c>
      <c r="M144" s="262">
        <v>507955566</v>
      </c>
      <c r="N144" s="220">
        <f t="shared" si="18"/>
        <v>1300724426</v>
      </c>
      <c r="O144" s="261">
        <f t="shared" si="16"/>
        <v>3233871</v>
      </c>
      <c r="P144" s="261">
        <f>N144-N143+5949277</f>
        <v>9850774</v>
      </c>
      <c r="Q144" s="229">
        <v>-5949277</v>
      </c>
    </row>
    <row r="145" spans="9:23" ht="30">
      <c r="I145" s="243" t="s">
        <v>5035</v>
      </c>
      <c r="J145" s="244">
        <f>L145-L144+16266000</f>
        <v>-3424278</v>
      </c>
      <c r="K145" s="216" t="s">
        <v>990</v>
      </c>
      <c r="L145" s="245">
        <v>773078582</v>
      </c>
      <c r="M145" s="245">
        <v>483243300</v>
      </c>
      <c r="N145" s="244">
        <f t="shared" si="18"/>
        <v>1256321882</v>
      </c>
      <c r="O145" s="244">
        <f>M145-M144+24159150</f>
        <v>-553116</v>
      </c>
      <c r="P145" s="244">
        <f>N145-N144+40425150</f>
        <v>-3977394</v>
      </c>
      <c r="Q145" s="229">
        <v>-40425150</v>
      </c>
    </row>
    <row r="146" spans="9:23">
      <c r="I146" s="263" t="s">
        <v>5037</v>
      </c>
      <c r="J146" s="220">
        <f>L146-L145+15482124</f>
        <v>-6662026</v>
      </c>
      <c r="K146" s="219" t="s">
        <v>5036</v>
      </c>
      <c r="L146" s="264">
        <v>750934432</v>
      </c>
      <c r="M146" s="264">
        <v>477277384</v>
      </c>
      <c r="N146" s="220">
        <f t="shared" ref="N146:N203" si="19">L146+M146</f>
        <v>1228211816</v>
      </c>
      <c r="O146" s="220">
        <f>M146-M145-50000</f>
        <v>-6015916</v>
      </c>
      <c r="P146" s="220">
        <f>N146-N145-50000+15482124</f>
        <v>-12677942</v>
      </c>
      <c r="Q146" s="229">
        <f>50000-15482124</f>
        <v>-15432124</v>
      </c>
    </row>
    <row r="147" spans="9:23">
      <c r="I147" s="213"/>
      <c r="J147" s="113">
        <f t="shared" ref="J147:J199" si="20">L147-L146</f>
        <v>-5020195</v>
      </c>
      <c r="K147" s="213" t="s">
        <v>5038</v>
      </c>
      <c r="L147" s="84">
        <v>745914237</v>
      </c>
      <c r="M147" s="84">
        <v>473862216</v>
      </c>
      <c r="N147" s="113">
        <f t="shared" si="19"/>
        <v>1219776453</v>
      </c>
      <c r="O147" s="113">
        <f t="shared" ref="O147:O158" si="21">M147-M146</f>
        <v>-3415168</v>
      </c>
      <c r="P147" s="113">
        <f t="shared" ref="P147:P158" si="22">N147-N146</f>
        <v>-8435363</v>
      </c>
      <c r="Q147" s="229">
        <v>0</v>
      </c>
    </row>
    <row r="148" spans="9:23">
      <c r="I148" s="213"/>
      <c r="J148" s="113">
        <f t="shared" si="20"/>
        <v>-2990159</v>
      </c>
      <c r="K148" s="213" t="s">
        <v>5039</v>
      </c>
      <c r="L148" s="84">
        <v>742924078</v>
      </c>
      <c r="M148" s="84">
        <v>472064753</v>
      </c>
      <c r="N148" s="113">
        <f t="shared" si="19"/>
        <v>1214988831</v>
      </c>
      <c r="O148" s="113">
        <f t="shared" si="21"/>
        <v>-1797463</v>
      </c>
      <c r="P148" s="113">
        <f t="shared" si="22"/>
        <v>-4787622</v>
      </c>
      <c r="Q148" s="229">
        <v>0</v>
      </c>
      <c r="T148" t="s">
        <v>25</v>
      </c>
    </row>
    <row r="149" spans="9:23">
      <c r="I149" s="213"/>
      <c r="J149" s="113">
        <f t="shared" si="20"/>
        <v>-2104826</v>
      </c>
      <c r="K149" s="213" t="s">
        <v>5040</v>
      </c>
      <c r="L149" s="84">
        <v>740819252</v>
      </c>
      <c r="M149" s="84">
        <v>470305993</v>
      </c>
      <c r="N149" s="113">
        <f t="shared" si="19"/>
        <v>1211125245</v>
      </c>
      <c r="O149" s="113">
        <f t="shared" si="21"/>
        <v>-1758760</v>
      </c>
      <c r="P149" s="113">
        <f t="shared" si="22"/>
        <v>-3863586</v>
      </c>
      <c r="Q149" s="229">
        <v>0</v>
      </c>
      <c r="V149" t="s">
        <v>25</v>
      </c>
    </row>
    <row r="150" spans="9:23">
      <c r="I150" s="189" t="s">
        <v>5043</v>
      </c>
      <c r="J150" s="188">
        <f t="shared" si="20"/>
        <v>19640187</v>
      </c>
      <c r="K150" s="189" t="s">
        <v>5042</v>
      </c>
      <c r="L150" s="237">
        <v>760459439</v>
      </c>
      <c r="M150" s="237">
        <v>480341526</v>
      </c>
      <c r="N150" s="188">
        <f t="shared" si="19"/>
        <v>1240800965</v>
      </c>
      <c r="O150" s="188">
        <f>M150-M149-2480000</f>
        <v>7555533</v>
      </c>
      <c r="P150" s="188">
        <f>N150-N149-2480000</f>
        <v>27195720</v>
      </c>
      <c r="Q150" s="229">
        <v>2480000</v>
      </c>
    </row>
    <row r="151" spans="9:23">
      <c r="I151" s="213" t="s">
        <v>5046</v>
      </c>
      <c r="J151" s="113">
        <f>L151-L150-10000000</f>
        <v>7047541</v>
      </c>
      <c r="K151" s="213" t="s">
        <v>5045</v>
      </c>
      <c r="L151" s="84">
        <v>777506980</v>
      </c>
      <c r="M151" s="84">
        <v>487011941</v>
      </c>
      <c r="N151" s="220">
        <f t="shared" si="19"/>
        <v>1264518921</v>
      </c>
      <c r="O151" s="113">
        <f t="shared" si="21"/>
        <v>6670415</v>
      </c>
      <c r="P151" s="113">
        <f>N151-N150-10000000</f>
        <v>13717956</v>
      </c>
      <c r="Q151" s="229">
        <v>10000000</v>
      </c>
    </row>
    <row r="152" spans="9:23">
      <c r="I152" s="213"/>
      <c r="J152" s="113">
        <f t="shared" si="20"/>
        <v>12326187</v>
      </c>
      <c r="K152" s="213" t="s">
        <v>5047</v>
      </c>
      <c r="L152" s="84">
        <v>789833167</v>
      </c>
      <c r="M152" s="84">
        <v>496662271</v>
      </c>
      <c r="N152" s="220">
        <f t="shared" si="19"/>
        <v>1286495438</v>
      </c>
      <c r="O152" s="113">
        <f t="shared" si="21"/>
        <v>9650330</v>
      </c>
      <c r="P152" s="113">
        <f t="shared" si="22"/>
        <v>21976517</v>
      </c>
      <c r="Q152" s="229">
        <v>0</v>
      </c>
    </row>
    <row r="153" spans="9:23">
      <c r="I153" s="213"/>
      <c r="J153" s="113">
        <f t="shared" si="20"/>
        <v>-15331439</v>
      </c>
      <c r="K153" s="213" t="s">
        <v>5050</v>
      </c>
      <c r="L153" s="84">
        <v>774501728</v>
      </c>
      <c r="M153" s="84">
        <v>489029442</v>
      </c>
      <c r="N153" s="113">
        <f t="shared" si="19"/>
        <v>1263531170</v>
      </c>
      <c r="O153" s="113">
        <f t="shared" si="21"/>
        <v>-7632829</v>
      </c>
      <c r="P153" s="113">
        <f t="shared" si="22"/>
        <v>-22964268</v>
      </c>
      <c r="Q153" s="229">
        <v>0</v>
      </c>
    </row>
    <row r="154" spans="9:23">
      <c r="I154" s="213"/>
      <c r="J154" s="113">
        <f t="shared" si="20"/>
        <v>-32356446</v>
      </c>
      <c r="K154" s="213" t="s">
        <v>5051</v>
      </c>
      <c r="L154" s="84">
        <v>742145282</v>
      </c>
      <c r="M154" s="84">
        <v>468861007</v>
      </c>
      <c r="N154" s="113">
        <f t="shared" si="19"/>
        <v>1211006289</v>
      </c>
      <c r="O154" s="113">
        <f t="shared" si="21"/>
        <v>-20168435</v>
      </c>
      <c r="P154" s="113">
        <f t="shared" si="22"/>
        <v>-52524881</v>
      </c>
      <c r="Q154" s="229">
        <v>0</v>
      </c>
      <c r="S154" s="114"/>
    </row>
    <row r="155" spans="9:23">
      <c r="I155" s="213"/>
      <c r="J155" s="113">
        <f t="shared" si="20"/>
        <v>27087716</v>
      </c>
      <c r="K155" s="213" t="s">
        <v>5048</v>
      </c>
      <c r="L155" s="84">
        <v>769232998</v>
      </c>
      <c r="M155" s="84">
        <v>486200144</v>
      </c>
      <c r="N155" s="113">
        <f t="shared" si="19"/>
        <v>1255433142</v>
      </c>
      <c r="O155" s="113">
        <f t="shared" si="21"/>
        <v>17339137</v>
      </c>
      <c r="P155" s="113">
        <f t="shared" si="22"/>
        <v>44426853</v>
      </c>
      <c r="Q155" s="229">
        <v>0</v>
      </c>
    </row>
    <row r="156" spans="9:23">
      <c r="I156" s="213"/>
      <c r="J156" s="113">
        <f t="shared" si="20"/>
        <v>-11588296</v>
      </c>
      <c r="K156" s="213" t="s">
        <v>5052</v>
      </c>
      <c r="L156" s="84">
        <v>757644702</v>
      </c>
      <c r="M156" s="84">
        <v>479518419</v>
      </c>
      <c r="N156" s="113">
        <f t="shared" si="19"/>
        <v>1237163121</v>
      </c>
      <c r="O156" s="113">
        <f t="shared" si="21"/>
        <v>-6681725</v>
      </c>
      <c r="P156" s="113">
        <f t="shared" si="22"/>
        <v>-18270021</v>
      </c>
      <c r="Q156" s="229">
        <v>0</v>
      </c>
    </row>
    <row r="157" spans="9:23">
      <c r="I157" s="213"/>
      <c r="J157" s="113">
        <f t="shared" si="20"/>
        <v>44081635</v>
      </c>
      <c r="K157" s="213" t="s">
        <v>4227</v>
      </c>
      <c r="L157" s="84">
        <v>801726337</v>
      </c>
      <c r="M157" s="84">
        <v>506850552</v>
      </c>
      <c r="N157" s="220">
        <f t="shared" si="19"/>
        <v>1308576889</v>
      </c>
      <c r="O157" s="113">
        <f t="shared" si="21"/>
        <v>27332133</v>
      </c>
      <c r="P157" s="113">
        <f t="shared" si="22"/>
        <v>71413768</v>
      </c>
      <c r="Q157" s="229">
        <v>0</v>
      </c>
      <c r="W157" t="s">
        <v>25</v>
      </c>
    </row>
    <row r="158" spans="9:23">
      <c r="I158" s="213"/>
      <c r="J158" s="113">
        <f t="shared" si="20"/>
        <v>6630946</v>
      </c>
      <c r="K158" s="213" t="s">
        <v>5053</v>
      </c>
      <c r="L158" s="84">
        <v>808357283</v>
      </c>
      <c r="M158" s="84">
        <v>511928213</v>
      </c>
      <c r="N158" s="220">
        <f t="shared" si="19"/>
        <v>1320285496</v>
      </c>
      <c r="O158" s="113">
        <f t="shared" si="21"/>
        <v>5077661</v>
      </c>
      <c r="P158" s="113">
        <f t="shared" si="22"/>
        <v>11708607</v>
      </c>
      <c r="Q158" s="229">
        <v>0</v>
      </c>
    </row>
    <row r="159" spans="9:23">
      <c r="I159" s="213"/>
      <c r="J159" s="113">
        <f t="shared" si="20"/>
        <v>-3113999</v>
      </c>
      <c r="K159" s="213" t="s">
        <v>5049</v>
      </c>
      <c r="L159" s="84">
        <v>805243284</v>
      </c>
      <c r="M159" s="84">
        <v>510366011</v>
      </c>
      <c r="N159" s="113">
        <f t="shared" si="19"/>
        <v>1315609295</v>
      </c>
      <c r="O159" s="113">
        <f t="shared" ref="O159:O203" si="23">M159-M158</f>
        <v>-1562202</v>
      </c>
      <c r="P159" s="113">
        <f t="shared" ref="P159:P199" si="24">N159-N158</f>
        <v>-4676201</v>
      </c>
      <c r="Q159" s="229">
        <v>0</v>
      </c>
    </row>
    <row r="160" spans="9:23">
      <c r="I160" s="266" t="s">
        <v>5064</v>
      </c>
      <c r="J160" s="188">
        <f>L160-L159-1000000</f>
        <v>-11757327</v>
      </c>
      <c r="K160" s="189" t="s">
        <v>5063</v>
      </c>
      <c r="L160" s="237">
        <v>794485957</v>
      </c>
      <c r="M160" s="237">
        <v>500307505</v>
      </c>
      <c r="N160" s="188">
        <f t="shared" si="19"/>
        <v>1294793462</v>
      </c>
      <c r="O160" s="188">
        <f>M160-M159-400000</f>
        <v>-10458506</v>
      </c>
      <c r="P160" s="188">
        <f>N160-N159-1400000</f>
        <v>-22215833</v>
      </c>
      <c r="Q160" s="229">
        <v>1400000</v>
      </c>
    </row>
    <row r="161" spans="9:18">
      <c r="I161" s="213"/>
      <c r="J161" s="113">
        <f t="shared" si="20"/>
        <v>15301801</v>
      </c>
      <c r="K161" s="213" t="s">
        <v>5065</v>
      </c>
      <c r="L161" s="84">
        <v>809787758</v>
      </c>
      <c r="M161" s="84">
        <v>508573621</v>
      </c>
      <c r="N161" s="113">
        <f t="shared" si="19"/>
        <v>1318361379</v>
      </c>
      <c r="O161" s="113">
        <f t="shared" si="23"/>
        <v>8266116</v>
      </c>
      <c r="P161" s="113">
        <f t="shared" si="24"/>
        <v>23567917</v>
      </c>
    </row>
    <row r="162" spans="9:18">
      <c r="I162" s="246" t="s">
        <v>5067</v>
      </c>
      <c r="J162" s="247">
        <f>L162-L161-40000</f>
        <v>22492792</v>
      </c>
      <c r="K162" s="246" t="s">
        <v>5066</v>
      </c>
      <c r="L162" s="248">
        <v>832320550</v>
      </c>
      <c r="M162" s="248">
        <v>520218492</v>
      </c>
      <c r="N162" s="220">
        <f t="shared" si="19"/>
        <v>1352539042</v>
      </c>
      <c r="O162" s="247">
        <f>M162-M161-40000</f>
        <v>11604871</v>
      </c>
      <c r="P162" s="247">
        <f>N162-N161-80000</f>
        <v>34097663</v>
      </c>
      <c r="Q162" s="229">
        <v>80000</v>
      </c>
    </row>
    <row r="163" spans="9:18">
      <c r="I163" s="213"/>
      <c r="J163" s="113">
        <f t="shared" si="20"/>
        <v>17160356</v>
      </c>
      <c r="K163" s="213" t="s">
        <v>5069</v>
      </c>
      <c r="L163" s="84">
        <v>849480906</v>
      </c>
      <c r="M163" s="84">
        <v>529879172</v>
      </c>
      <c r="N163" s="220">
        <f t="shared" si="19"/>
        <v>1379360078</v>
      </c>
      <c r="O163" s="113">
        <f t="shared" si="23"/>
        <v>9660680</v>
      </c>
      <c r="P163" s="113">
        <f t="shared" si="24"/>
        <v>26821036</v>
      </c>
      <c r="Q163" s="229">
        <v>0</v>
      </c>
    </row>
    <row r="164" spans="9:18">
      <c r="I164" s="213"/>
      <c r="J164" s="113">
        <f t="shared" si="20"/>
        <v>-9629608</v>
      </c>
      <c r="K164" s="213" t="s">
        <v>5076</v>
      </c>
      <c r="L164" s="84">
        <v>839851298</v>
      </c>
      <c r="M164" s="84">
        <v>524867809</v>
      </c>
      <c r="N164" s="113">
        <f t="shared" si="19"/>
        <v>1364719107</v>
      </c>
      <c r="O164" s="113">
        <f t="shared" si="23"/>
        <v>-5011363</v>
      </c>
      <c r="P164" s="113">
        <f t="shared" si="24"/>
        <v>-14640971</v>
      </c>
      <c r="Q164" s="229">
        <v>0</v>
      </c>
    </row>
    <row r="165" spans="9:18">
      <c r="I165" s="246" t="s">
        <v>5079</v>
      </c>
      <c r="J165" s="247">
        <f>L165-L164-120000</f>
        <v>-2216696</v>
      </c>
      <c r="K165" s="246" t="s">
        <v>5078</v>
      </c>
      <c r="L165" s="248">
        <v>837754602</v>
      </c>
      <c r="M165" s="248">
        <v>524141818</v>
      </c>
      <c r="N165" s="247">
        <f t="shared" si="19"/>
        <v>1361896420</v>
      </c>
      <c r="O165" s="247">
        <f>M165-M164-200000</f>
        <v>-925991</v>
      </c>
      <c r="P165" s="247">
        <f>N165-N164-320000</f>
        <v>-3142687</v>
      </c>
      <c r="Q165" s="229">
        <v>320000</v>
      </c>
    </row>
    <row r="166" spans="9:18">
      <c r="I166" s="246" t="s">
        <v>4996</v>
      </c>
      <c r="J166" s="247">
        <f t="shared" si="20"/>
        <v>-5830761</v>
      </c>
      <c r="K166" s="246" t="s">
        <v>5082</v>
      </c>
      <c r="L166" s="248">
        <v>831923841</v>
      </c>
      <c r="M166" s="248">
        <v>520741895</v>
      </c>
      <c r="N166" s="247">
        <f t="shared" si="19"/>
        <v>1352665736</v>
      </c>
      <c r="O166" s="247">
        <f>M166-M165-500000</f>
        <v>-3899923</v>
      </c>
      <c r="P166" s="247">
        <f>N166-N165-500000</f>
        <v>-9730684</v>
      </c>
      <c r="Q166" s="229">
        <v>500000</v>
      </c>
    </row>
    <row r="167" spans="9:18">
      <c r="I167" s="246" t="s">
        <v>4996</v>
      </c>
      <c r="J167" s="247">
        <f t="shared" si="20"/>
        <v>-22467551</v>
      </c>
      <c r="K167" s="246" t="s">
        <v>5084</v>
      </c>
      <c r="L167" s="248">
        <v>809456290</v>
      </c>
      <c r="M167" s="248">
        <v>509313372</v>
      </c>
      <c r="N167" s="247">
        <f t="shared" si="19"/>
        <v>1318769662</v>
      </c>
      <c r="O167" s="247">
        <f>M167-M166-500000</f>
        <v>-11928523</v>
      </c>
      <c r="P167" s="247">
        <f>N167-N166-500000</f>
        <v>-34396074</v>
      </c>
      <c r="Q167" s="229">
        <v>500000</v>
      </c>
    </row>
    <row r="168" spans="9:18">
      <c r="I168" s="246" t="s">
        <v>5085</v>
      </c>
      <c r="J168" s="247">
        <f>L168-L167-249000</f>
        <v>-15588738</v>
      </c>
      <c r="K168" s="246" t="s">
        <v>5071</v>
      </c>
      <c r="L168" s="248">
        <v>794116552</v>
      </c>
      <c r="M168" s="248">
        <v>501172095</v>
      </c>
      <c r="N168" s="247">
        <f t="shared" si="19"/>
        <v>1295288647</v>
      </c>
      <c r="O168" s="247">
        <f>M168-M167-250000</f>
        <v>-8391277</v>
      </c>
      <c r="P168" s="247">
        <f>N168-N167-499000</f>
        <v>-23980015</v>
      </c>
      <c r="Q168" s="229">
        <v>499000</v>
      </c>
    </row>
    <row r="169" spans="9:18">
      <c r="I169" s="213"/>
      <c r="J169" s="113">
        <f t="shared" si="20"/>
        <v>11269240</v>
      </c>
      <c r="K169" s="213" t="s">
        <v>5086</v>
      </c>
      <c r="L169" s="84">
        <v>805385792</v>
      </c>
      <c r="M169" s="84">
        <v>507195022</v>
      </c>
      <c r="N169" s="113">
        <f t="shared" si="19"/>
        <v>1312580814</v>
      </c>
      <c r="O169" s="113">
        <f t="shared" si="23"/>
        <v>6022927</v>
      </c>
      <c r="P169" s="113">
        <f t="shared" si="24"/>
        <v>17292167</v>
      </c>
      <c r="Q169" s="229">
        <v>0</v>
      </c>
    </row>
    <row r="170" spans="9:18">
      <c r="I170" s="213"/>
      <c r="J170" s="113">
        <f t="shared" si="20"/>
        <v>-18119284</v>
      </c>
      <c r="K170" s="213" t="s">
        <v>5089</v>
      </c>
      <c r="L170" s="84">
        <v>787266508</v>
      </c>
      <c r="M170" s="84">
        <v>498492039</v>
      </c>
      <c r="N170" s="113">
        <f t="shared" si="19"/>
        <v>1285758547</v>
      </c>
      <c r="O170" s="113">
        <f t="shared" si="23"/>
        <v>-8702983</v>
      </c>
      <c r="P170" s="113">
        <f t="shared" si="24"/>
        <v>-26822267</v>
      </c>
      <c r="Q170" s="229">
        <v>0</v>
      </c>
    </row>
    <row r="171" spans="9:18">
      <c r="I171" s="213"/>
      <c r="J171" s="113">
        <f t="shared" si="20"/>
        <v>19151757</v>
      </c>
      <c r="K171" s="213" t="s">
        <v>3849</v>
      </c>
      <c r="L171" s="84">
        <v>806418265</v>
      </c>
      <c r="M171" s="84">
        <v>508251365</v>
      </c>
      <c r="N171" s="113">
        <f t="shared" si="19"/>
        <v>1314669630</v>
      </c>
      <c r="O171" s="113">
        <f t="shared" si="23"/>
        <v>9759326</v>
      </c>
      <c r="P171" s="113">
        <f t="shared" si="24"/>
        <v>28911083</v>
      </c>
      <c r="Q171" s="229">
        <v>0</v>
      </c>
    </row>
    <row r="172" spans="9:18">
      <c r="I172" s="213"/>
      <c r="J172" s="113">
        <f t="shared" si="20"/>
        <v>-130356</v>
      </c>
      <c r="K172" s="213" t="s">
        <v>5097</v>
      </c>
      <c r="L172" s="84">
        <v>806287909</v>
      </c>
      <c r="M172" s="250">
        <v>508728805</v>
      </c>
      <c r="N172" s="113">
        <f t="shared" si="19"/>
        <v>1315016714</v>
      </c>
      <c r="O172" s="113">
        <f t="shared" si="23"/>
        <v>477440</v>
      </c>
      <c r="P172" s="113">
        <f t="shared" si="24"/>
        <v>347084</v>
      </c>
      <c r="Q172" s="229">
        <v>0</v>
      </c>
    </row>
    <row r="173" spans="9:18">
      <c r="I173" s="213"/>
      <c r="J173" s="113">
        <f t="shared" si="20"/>
        <v>-4205755</v>
      </c>
      <c r="K173" s="213" t="s">
        <v>5098</v>
      </c>
      <c r="L173" s="84">
        <v>802082154</v>
      </c>
      <c r="M173" s="84">
        <v>508611485</v>
      </c>
      <c r="N173" s="113">
        <f t="shared" si="19"/>
        <v>1310693639</v>
      </c>
      <c r="O173" s="113">
        <f t="shared" si="23"/>
        <v>-117320</v>
      </c>
      <c r="P173" s="113">
        <f t="shared" si="24"/>
        <v>-4323075</v>
      </c>
      <c r="Q173" s="229">
        <v>0</v>
      </c>
      <c r="R173" t="s">
        <v>25</v>
      </c>
    </row>
    <row r="174" spans="9:18">
      <c r="I174" s="246" t="s">
        <v>5101</v>
      </c>
      <c r="J174" s="247">
        <f>L174-L173-65000</f>
        <v>5888390</v>
      </c>
      <c r="K174" s="246" t="s">
        <v>5100</v>
      </c>
      <c r="L174" s="248">
        <v>808035544</v>
      </c>
      <c r="M174" s="248">
        <v>512177913</v>
      </c>
      <c r="N174" s="247">
        <f t="shared" si="19"/>
        <v>1320213457</v>
      </c>
      <c r="O174" s="247">
        <f t="shared" si="23"/>
        <v>3566428</v>
      </c>
      <c r="P174" s="247">
        <f>N174-N173-65000</f>
        <v>9454818</v>
      </c>
      <c r="Q174" s="229">
        <v>65000</v>
      </c>
    </row>
    <row r="175" spans="9:18">
      <c r="I175" s="213"/>
      <c r="J175" s="113">
        <f t="shared" si="20"/>
        <v>347325</v>
      </c>
      <c r="K175" s="213" t="s">
        <v>4228</v>
      </c>
      <c r="L175" s="84">
        <v>808382869</v>
      </c>
      <c r="M175" s="84">
        <v>512740969</v>
      </c>
      <c r="N175" s="113">
        <f t="shared" si="19"/>
        <v>1321123838</v>
      </c>
      <c r="O175" s="113">
        <f t="shared" si="23"/>
        <v>563056</v>
      </c>
      <c r="P175" s="113">
        <f t="shared" si="24"/>
        <v>910381</v>
      </c>
      <c r="Q175" s="229">
        <v>0</v>
      </c>
    </row>
    <row r="176" spans="9:18">
      <c r="I176" s="216" t="s">
        <v>5107</v>
      </c>
      <c r="J176" s="244">
        <f>L176-L175+305807</f>
        <v>8668560</v>
      </c>
      <c r="K176" s="216" t="s">
        <v>5105</v>
      </c>
      <c r="L176" s="245">
        <v>816745622</v>
      </c>
      <c r="M176" s="245">
        <v>516127148</v>
      </c>
      <c r="N176" s="244">
        <f t="shared" si="19"/>
        <v>1332872770</v>
      </c>
      <c r="O176" s="244">
        <f>M176-M175+305807</f>
        <v>3691986</v>
      </c>
      <c r="P176" s="244">
        <f>N176-N175+611614</f>
        <v>12360546</v>
      </c>
      <c r="Q176" s="229">
        <v>-611614</v>
      </c>
    </row>
    <row r="177" spans="9:17">
      <c r="I177" s="152" t="s">
        <v>5108</v>
      </c>
      <c r="J177" s="244">
        <f>L177-L176+63348</f>
        <v>4837676</v>
      </c>
      <c r="K177" s="216" t="s">
        <v>5106</v>
      </c>
      <c r="L177" s="245">
        <v>821519950</v>
      </c>
      <c r="M177" s="245">
        <v>505943649</v>
      </c>
      <c r="N177" s="244">
        <f t="shared" si="19"/>
        <v>1327463599</v>
      </c>
      <c r="O177" s="244">
        <f>M177-M176+13076601</f>
        <v>2893102</v>
      </c>
      <c r="P177" s="244">
        <f>N177-N176+13139949</f>
        <v>7730778</v>
      </c>
      <c r="Q177" s="229">
        <v>-13139949</v>
      </c>
    </row>
    <row r="178" spans="9:17">
      <c r="I178" s="267" t="s">
        <v>5111</v>
      </c>
      <c r="J178" s="268">
        <f>L178-L177-50000</f>
        <v>30757186</v>
      </c>
      <c r="K178" s="267" t="s">
        <v>5110</v>
      </c>
      <c r="L178" s="269">
        <v>852327136</v>
      </c>
      <c r="M178" s="269">
        <v>521297098</v>
      </c>
      <c r="N178" s="220">
        <f t="shared" si="19"/>
        <v>1373624234</v>
      </c>
      <c r="O178" s="268">
        <f>M178-M177+1330520</f>
        <v>16683969</v>
      </c>
      <c r="P178" s="268">
        <f t="shared" si="24"/>
        <v>46160635</v>
      </c>
      <c r="Q178" s="229">
        <v>1280520</v>
      </c>
    </row>
    <row r="179" spans="9:17">
      <c r="I179" s="213"/>
      <c r="J179" s="113">
        <f t="shared" si="20"/>
        <v>3566567</v>
      </c>
      <c r="K179" s="213" t="s">
        <v>5072</v>
      </c>
      <c r="L179" s="84">
        <v>855893703</v>
      </c>
      <c r="M179" s="84">
        <v>523555571</v>
      </c>
      <c r="N179" s="220">
        <f t="shared" si="19"/>
        <v>1379449274</v>
      </c>
      <c r="O179" s="113">
        <f t="shared" si="23"/>
        <v>2258473</v>
      </c>
      <c r="P179" s="113">
        <f t="shared" si="24"/>
        <v>5825040</v>
      </c>
      <c r="Q179" s="229">
        <v>0</v>
      </c>
    </row>
    <row r="180" spans="9:17">
      <c r="I180" s="213"/>
      <c r="J180" s="113">
        <f t="shared" si="20"/>
        <v>38722880</v>
      </c>
      <c r="K180" s="213" t="s">
        <v>5116</v>
      </c>
      <c r="L180" s="84">
        <v>894616583</v>
      </c>
      <c r="M180" s="84">
        <v>542439358</v>
      </c>
      <c r="N180" s="220">
        <f t="shared" si="19"/>
        <v>1437055941</v>
      </c>
      <c r="O180" s="113">
        <f t="shared" si="23"/>
        <v>18883787</v>
      </c>
      <c r="P180" s="113">
        <f t="shared" si="24"/>
        <v>57606667</v>
      </c>
      <c r="Q180" s="229">
        <v>0</v>
      </c>
    </row>
    <row r="181" spans="9:17">
      <c r="I181" s="213"/>
      <c r="J181" s="113">
        <f t="shared" si="20"/>
        <v>16136832</v>
      </c>
      <c r="K181" s="213" t="s">
        <v>5119</v>
      </c>
      <c r="L181" s="84">
        <v>910753415</v>
      </c>
      <c r="M181" s="84">
        <v>556456529</v>
      </c>
      <c r="N181" s="220">
        <f>L181+M181</f>
        <v>1467209944</v>
      </c>
      <c r="O181" s="113">
        <f t="shared" si="23"/>
        <v>14017171</v>
      </c>
      <c r="P181" s="113">
        <f t="shared" si="24"/>
        <v>30154003</v>
      </c>
      <c r="Q181" s="229">
        <v>0</v>
      </c>
    </row>
    <row r="182" spans="9:17">
      <c r="I182" s="213"/>
      <c r="J182" s="113">
        <f t="shared" si="20"/>
        <v>12506133</v>
      </c>
      <c r="K182" s="213" t="s">
        <v>5120</v>
      </c>
      <c r="L182" s="84">
        <v>923259548</v>
      </c>
      <c r="M182" s="84">
        <v>567570020</v>
      </c>
      <c r="N182" s="220">
        <f t="shared" si="19"/>
        <v>1490829568</v>
      </c>
      <c r="O182" s="113">
        <f t="shared" si="23"/>
        <v>11113491</v>
      </c>
      <c r="P182" s="113">
        <f t="shared" si="24"/>
        <v>23619624</v>
      </c>
      <c r="Q182" s="229">
        <v>0</v>
      </c>
    </row>
    <row r="183" spans="9:17">
      <c r="I183" s="213"/>
      <c r="J183" s="113">
        <f t="shared" si="20"/>
        <v>-6894672</v>
      </c>
      <c r="K183" s="213" t="s">
        <v>5125</v>
      </c>
      <c r="L183" s="84">
        <v>916364876</v>
      </c>
      <c r="M183" s="84">
        <v>564106459</v>
      </c>
      <c r="N183" s="113">
        <f t="shared" si="19"/>
        <v>1480471335</v>
      </c>
      <c r="O183" s="113">
        <f t="shared" si="23"/>
        <v>-3463561</v>
      </c>
      <c r="P183" s="113">
        <f t="shared" si="24"/>
        <v>-10358233</v>
      </c>
      <c r="Q183" s="229">
        <v>0</v>
      </c>
    </row>
    <row r="184" spans="9:17">
      <c r="I184" s="213"/>
      <c r="J184" s="113">
        <f t="shared" si="20"/>
        <v>-11657822</v>
      </c>
      <c r="K184" s="213" t="s">
        <v>5126</v>
      </c>
      <c r="L184" s="84">
        <v>904707054</v>
      </c>
      <c r="M184" s="84">
        <v>557394961</v>
      </c>
      <c r="N184" s="113">
        <f t="shared" si="19"/>
        <v>1462102015</v>
      </c>
      <c r="O184" s="113">
        <f t="shared" si="23"/>
        <v>-6711498</v>
      </c>
      <c r="P184" s="113">
        <f t="shared" si="24"/>
        <v>-18369320</v>
      </c>
      <c r="Q184" s="229">
        <v>0</v>
      </c>
    </row>
    <row r="185" spans="9:17">
      <c r="I185" s="189" t="s">
        <v>5129</v>
      </c>
      <c r="J185" s="188">
        <f>L185-L184-200000</f>
        <v>15983884</v>
      </c>
      <c r="K185" s="189" t="s">
        <v>5127</v>
      </c>
      <c r="L185" s="237">
        <v>920890938</v>
      </c>
      <c r="M185" s="237">
        <v>566042468</v>
      </c>
      <c r="N185" s="188">
        <f t="shared" si="19"/>
        <v>1486933406</v>
      </c>
      <c r="O185" s="188">
        <f t="shared" si="23"/>
        <v>8647507</v>
      </c>
      <c r="P185" s="188">
        <f>N185-N184-200000</f>
        <v>24631391</v>
      </c>
      <c r="Q185" s="229">
        <v>200000</v>
      </c>
    </row>
    <row r="186" spans="9:17">
      <c r="I186" s="189" t="s">
        <v>5136</v>
      </c>
      <c r="J186" s="188">
        <f>L186-L185-30000</f>
        <v>1392982</v>
      </c>
      <c r="K186" s="189" t="s">
        <v>5130</v>
      </c>
      <c r="L186" s="237">
        <v>922313920</v>
      </c>
      <c r="M186" s="237">
        <v>567221668</v>
      </c>
      <c r="N186" s="188">
        <f t="shared" si="19"/>
        <v>1489535588</v>
      </c>
      <c r="O186" s="188">
        <f t="shared" si="23"/>
        <v>1179200</v>
      </c>
      <c r="P186" s="188">
        <f>N186-N185-30000</f>
        <v>2572182</v>
      </c>
      <c r="Q186" s="229">
        <v>30000</v>
      </c>
    </row>
    <row r="187" spans="9:17">
      <c r="I187" s="213" t="s">
        <v>5141</v>
      </c>
      <c r="J187" s="113">
        <f t="shared" si="20"/>
        <v>-1865454</v>
      </c>
      <c r="K187" s="213" t="s">
        <v>5140</v>
      </c>
      <c r="L187" s="84">
        <v>920448466</v>
      </c>
      <c r="M187" s="84">
        <v>581598140</v>
      </c>
      <c r="N187" s="113">
        <f t="shared" si="19"/>
        <v>1502046606</v>
      </c>
      <c r="O187" s="113">
        <f>M187-M186-14340000</f>
        <v>36472</v>
      </c>
      <c r="P187" s="113">
        <f>N187-N186-14340000</f>
        <v>-1828982</v>
      </c>
      <c r="Q187" s="229">
        <v>14340000</v>
      </c>
    </row>
    <row r="188" spans="9:17">
      <c r="I188" s="213"/>
      <c r="J188" s="113">
        <f t="shared" si="20"/>
        <v>12522279</v>
      </c>
      <c r="K188" s="213" t="s">
        <v>5142</v>
      </c>
      <c r="L188" s="84">
        <v>932970745</v>
      </c>
      <c r="M188" s="84">
        <v>587671418</v>
      </c>
      <c r="N188" s="220">
        <f t="shared" si="19"/>
        <v>1520642163</v>
      </c>
      <c r="O188" s="113">
        <f t="shared" si="23"/>
        <v>6073278</v>
      </c>
      <c r="P188" s="113">
        <f t="shared" si="24"/>
        <v>18595557</v>
      </c>
      <c r="Q188" s="229">
        <v>0</v>
      </c>
    </row>
    <row r="189" spans="9:17">
      <c r="I189" s="213"/>
      <c r="J189" s="113">
        <f t="shared" si="20"/>
        <v>18096784</v>
      </c>
      <c r="K189" s="213" t="s">
        <v>5088</v>
      </c>
      <c r="L189" s="84">
        <v>951067529</v>
      </c>
      <c r="M189" s="84">
        <v>596275041</v>
      </c>
      <c r="N189" s="220">
        <f t="shared" si="19"/>
        <v>1547342570</v>
      </c>
      <c r="O189" s="113">
        <f t="shared" si="23"/>
        <v>8603623</v>
      </c>
      <c r="P189" s="113">
        <f t="shared" si="24"/>
        <v>26700407</v>
      </c>
      <c r="Q189" s="229">
        <v>0</v>
      </c>
    </row>
    <row r="190" spans="9:17" ht="30">
      <c r="I190" s="266" t="s">
        <v>5149</v>
      </c>
      <c r="J190" s="188">
        <f>L190-L189+4000000</f>
        <v>-1393565</v>
      </c>
      <c r="K190" s="189" t="s">
        <v>5148</v>
      </c>
      <c r="L190" s="237">
        <v>945673964</v>
      </c>
      <c r="M190" s="237">
        <v>604047583</v>
      </c>
      <c r="N190" s="188">
        <f t="shared" si="19"/>
        <v>1549721547</v>
      </c>
      <c r="O190" s="188">
        <f>M190-M189-10000000</f>
        <v>-2227458</v>
      </c>
      <c r="P190" s="188">
        <f>N190-N189-6000000</f>
        <v>-3621023</v>
      </c>
      <c r="Q190" s="229">
        <v>6000000</v>
      </c>
    </row>
    <row r="191" spans="9:17">
      <c r="I191" s="213"/>
      <c r="J191" s="113">
        <f t="shared" si="20"/>
        <v>3150981</v>
      </c>
      <c r="K191" s="213" t="s">
        <v>5151</v>
      </c>
      <c r="L191" s="84">
        <v>948824945</v>
      </c>
      <c r="M191" s="84">
        <v>605597895</v>
      </c>
      <c r="N191" s="220">
        <f t="shared" si="19"/>
        <v>1554422840</v>
      </c>
      <c r="O191" s="113">
        <f t="shared" si="23"/>
        <v>1550312</v>
      </c>
      <c r="P191" s="113">
        <f t="shared" si="24"/>
        <v>4701293</v>
      </c>
      <c r="Q191" s="229">
        <v>0</v>
      </c>
    </row>
    <row r="192" spans="9:17">
      <c r="I192" s="213"/>
      <c r="J192" s="113">
        <f t="shared" si="20"/>
        <v>-10638388</v>
      </c>
      <c r="K192" s="213" t="s">
        <v>5152</v>
      </c>
      <c r="L192" s="84">
        <v>938186557</v>
      </c>
      <c r="M192" s="84">
        <v>598751030</v>
      </c>
      <c r="N192" s="113">
        <f t="shared" si="19"/>
        <v>1536937587</v>
      </c>
      <c r="O192" s="113">
        <f t="shared" si="23"/>
        <v>-6846865</v>
      </c>
      <c r="P192" s="113">
        <f t="shared" si="24"/>
        <v>-17485253</v>
      </c>
      <c r="Q192" s="229">
        <v>0</v>
      </c>
    </row>
    <row r="193" spans="9:17">
      <c r="I193" s="213"/>
      <c r="J193" s="113">
        <f t="shared" si="20"/>
        <v>-21535837</v>
      </c>
      <c r="K193" s="213" t="s">
        <v>4339</v>
      </c>
      <c r="L193" s="84">
        <v>916650720</v>
      </c>
      <c r="M193" s="84">
        <v>586585010</v>
      </c>
      <c r="N193" s="113">
        <f t="shared" si="19"/>
        <v>1503235730</v>
      </c>
      <c r="O193" s="113">
        <f t="shared" si="23"/>
        <v>-12166020</v>
      </c>
      <c r="P193" s="113">
        <f t="shared" si="24"/>
        <v>-33701857</v>
      </c>
      <c r="Q193" s="229">
        <v>0</v>
      </c>
    </row>
    <row r="194" spans="9:17">
      <c r="I194" s="19"/>
      <c r="J194" s="117">
        <f>L194-L193</f>
        <v>-15375391</v>
      </c>
      <c r="K194" s="19" t="s">
        <v>5154</v>
      </c>
      <c r="L194" s="250">
        <v>901275329</v>
      </c>
      <c r="M194" s="250">
        <v>583098793</v>
      </c>
      <c r="N194" s="117">
        <f>L194+M194</f>
        <v>1484374122</v>
      </c>
      <c r="O194" s="117">
        <f t="shared" si="23"/>
        <v>-3486217</v>
      </c>
      <c r="P194" s="117">
        <f>N194-N193</f>
        <v>-18861608</v>
      </c>
      <c r="Q194" s="229">
        <v>0</v>
      </c>
    </row>
    <row r="195" spans="9:17">
      <c r="I195" s="189" t="s">
        <v>5159</v>
      </c>
      <c r="J195" s="188">
        <f>L195-L194-150000</f>
        <v>17593478</v>
      </c>
      <c r="K195" s="189" t="s">
        <v>5157</v>
      </c>
      <c r="L195" s="237">
        <v>919018807</v>
      </c>
      <c r="M195" s="237">
        <v>589857160</v>
      </c>
      <c r="N195" s="188">
        <f t="shared" si="19"/>
        <v>1508875967</v>
      </c>
      <c r="O195" s="188">
        <f>M195-M194</f>
        <v>6758367</v>
      </c>
      <c r="P195" s="188">
        <f>N195-N194-150000</f>
        <v>24351845</v>
      </c>
      <c r="Q195" s="229">
        <v>150000</v>
      </c>
    </row>
    <row r="196" spans="9:17">
      <c r="I196" s="213"/>
      <c r="J196" s="113">
        <f t="shared" si="20"/>
        <v>32160045</v>
      </c>
      <c r="K196" s="213" t="s">
        <v>5160</v>
      </c>
      <c r="L196" s="84">
        <v>951178852</v>
      </c>
      <c r="M196" s="84">
        <v>603949839</v>
      </c>
      <c r="N196" s="220">
        <f t="shared" si="19"/>
        <v>1555128691</v>
      </c>
      <c r="O196" s="113">
        <f t="shared" si="23"/>
        <v>14092679</v>
      </c>
      <c r="P196" s="113">
        <f t="shared" si="24"/>
        <v>46252724</v>
      </c>
      <c r="Q196" s="229">
        <v>0</v>
      </c>
    </row>
    <row r="197" spans="9:17">
      <c r="I197" s="213"/>
      <c r="J197" s="113">
        <f t="shared" si="20"/>
        <v>9807002</v>
      </c>
      <c r="K197" s="213" t="s">
        <v>5161</v>
      </c>
      <c r="L197" s="84">
        <v>960985854</v>
      </c>
      <c r="M197" s="84">
        <v>620237864</v>
      </c>
      <c r="N197" s="220">
        <f t="shared" si="19"/>
        <v>1581223718</v>
      </c>
      <c r="O197" s="113">
        <f t="shared" si="23"/>
        <v>16288025</v>
      </c>
      <c r="P197" s="113">
        <f t="shared" si="24"/>
        <v>26095027</v>
      </c>
      <c r="Q197" s="229">
        <v>0</v>
      </c>
    </row>
    <row r="198" spans="9:17">
      <c r="I198" s="213"/>
      <c r="J198" s="113">
        <f t="shared" si="20"/>
        <v>19013006</v>
      </c>
      <c r="K198" s="213" t="s">
        <v>5166</v>
      </c>
      <c r="L198" s="84">
        <v>979998860</v>
      </c>
      <c r="M198" s="84">
        <v>637744664</v>
      </c>
      <c r="N198" s="220">
        <f t="shared" si="19"/>
        <v>1617743524</v>
      </c>
      <c r="O198" s="113">
        <f t="shared" si="23"/>
        <v>17506800</v>
      </c>
      <c r="P198" s="113">
        <f t="shared" si="24"/>
        <v>36519806</v>
      </c>
      <c r="Q198" s="229">
        <v>0</v>
      </c>
    </row>
    <row r="199" spans="9:17">
      <c r="I199" s="213"/>
      <c r="J199" s="113">
        <f t="shared" si="20"/>
        <v>12077451</v>
      </c>
      <c r="K199" s="213" t="s">
        <v>5191</v>
      </c>
      <c r="L199" s="84">
        <v>992076311</v>
      </c>
      <c r="M199" s="84">
        <v>638214788</v>
      </c>
      <c r="N199" s="220">
        <f t="shared" si="19"/>
        <v>1630291099</v>
      </c>
      <c r="O199" s="113">
        <f t="shared" si="23"/>
        <v>470124</v>
      </c>
      <c r="P199" s="113">
        <f t="shared" si="24"/>
        <v>12547575</v>
      </c>
      <c r="Q199" s="229">
        <v>0</v>
      </c>
    </row>
    <row r="200" spans="9:17">
      <c r="I200" s="189" t="s">
        <v>5196</v>
      </c>
      <c r="J200" s="188">
        <f>L200-L199-400000</f>
        <v>-7612896</v>
      </c>
      <c r="K200" s="189" t="s">
        <v>5193</v>
      </c>
      <c r="L200" s="237">
        <v>984863415</v>
      </c>
      <c r="M200" s="237">
        <v>632226484</v>
      </c>
      <c r="N200" s="188">
        <f t="shared" si="19"/>
        <v>1617089899</v>
      </c>
      <c r="O200" s="188">
        <f t="shared" si="23"/>
        <v>-5988304</v>
      </c>
      <c r="P200" s="188">
        <f>N200-N199-400000</f>
        <v>-13601200</v>
      </c>
      <c r="Q200" s="229">
        <v>400000</v>
      </c>
    </row>
    <row r="201" spans="9:17">
      <c r="I201" s="216" t="s">
        <v>5199</v>
      </c>
      <c r="J201" s="244">
        <f>L201-L200+100000</f>
        <v>12509920</v>
      </c>
      <c r="K201" s="216" t="s">
        <v>5197</v>
      </c>
      <c r="L201" s="245">
        <v>997273335</v>
      </c>
      <c r="M201" s="245">
        <v>639479822</v>
      </c>
      <c r="N201" s="220">
        <f t="shared" si="19"/>
        <v>1636753157</v>
      </c>
      <c r="O201" s="244">
        <f t="shared" si="23"/>
        <v>7253338</v>
      </c>
      <c r="P201" s="244">
        <f>N201-N200+100000</f>
        <v>19763258</v>
      </c>
      <c r="Q201" s="229">
        <v>-100000</v>
      </c>
    </row>
    <row r="202" spans="9:17">
      <c r="I202" s="189" t="s">
        <v>5202</v>
      </c>
      <c r="J202" s="188">
        <f>L202-L201-10000000</f>
        <v>-2265988</v>
      </c>
      <c r="K202" s="189" t="s">
        <v>5201</v>
      </c>
      <c r="L202" s="237">
        <v>1005007347</v>
      </c>
      <c r="M202" s="237">
        <v>636084938</v>
      </c>
      <c r="N202" s="188">
        <f t="shared" si="19"/>
        <v>1641092285</v>
      </c>
      <c r="O202" s="188">
        <f t="shared" si="23"/>
        <v>-3394884</v>
      </c>
      <c r="P202" s="188">
        <f>N202-N201-10000000</f>
        <v>-5660872</v>
      </c>
      <c r="Q202" s="229">
        <v>10000000</v>
      </c>
    </row>
    <row r="203" spans="9:17">
      <c r="I203" s="216" t="s">
        <v>5207</v>
      </c>
      <c r="J203" s="244">
        <f>L203-L202+400000</f>
        <v>8061336</v>
      </c>
      <c r="K203" s="216" t="s">
        <v>5206</v>
      </c>
      <c r="L203" s="245">
        <v>1012668683</v>
      </c>
      <c r="M203" s="245">
        <v>641491326</v>
      </c>
      <c r="N203" s="220">
        <f t="shared" si="19"/>
        <v>1654160009</v>
      </c>
      <c r="O203" s="244">
        <f t="shared" si="23"/>
        <v>5406388</v>
      </c>
      <c r="P203" s="244">
        <f>N203-N202+400000</f>
        <v>13467724</v>
      </c>
      <c r="Q203" s="229">
        <v>-400000</v>
      </c>
    </row>
    <row r="204" spans="9:17">
      <c r="I204" s="216" t="s">
        <v>5208</v>
      </c>
      <c r="J204" s="244">
        <f t="shared" ref="J204:J237" si="25">L204-L203</f>
        <v>-21392180</v>
      </c>
      <c r="K204" s="216" t="s">
        <v>972</v>
      </c>
      <c r="L204" s="245">
        <v>991276503</v>
      </c>
      <c r="M204" s="245">
        <v>624698003</v>
      </c>
      <c r="N204" s="244">
        <f t="shared" ref="N204:N213" si="26">L204+M204</f>
        <v>1615974506</v>
      </c>
      <c r="O204" s="244">
        <f>M204-M203+3960043</f>
        <v>-12833280</v>
      </c>
      <c r="P204" s="244">
        <f>N204-N203+3960043</f>
        <v>-34225460</v>
      </c>
      <c r="Q204" s="229">
        <v>-3960043</v>
      </c>
    </row>
    <row r="205" spans="9:17">
      <c r="I205" s="213"/>
      <c r="J205" s="113">
        <f t="shared" si="25"/>
        <v>3426714</v>
      </c>
      <c r="K205" s="213" t="s">
        <v>5209</v>
      </c>
      <c r="L205" s="84">
        <v>994703217</v>
      </c>
      <c r="M205" s="84">
        <v>626521958</v>
      </c>
      <c r="N205" s="113">
        <f t="shared" si="26"/>
        <v>1621225175</v>
      </c>
      <c r="O205" s="113">
        <f t="shared" ref="O205:O209" si="27">M205-M204</f>
        <v>1823955</v>
      </c>
      <c r="P205" s="113">
        <f t="shared" ref="P205:P208" si="28">N205-N204</f>
        <v>5250669</v>
      </c>
      <c r="Q205" s="229">
        <v>0</v>
      </c>
    </row>
    <row r="206" spans="9:17">
      <c r="I206" s="213"/>
      <c r="J206" s="113">
        <f t="shared" si="25"/>
        <v>-3600500</v>
      </c>
      <c r="K206" s="213" t="s">
        <v>5212</v>
      </c>
      <c r="L206" s="84">
        <v>991102717</v>
      </c>
      <c r="M206" s="84">
        <v>623731041</v>
      </c>
      <c r="N206" s="113">
        <f t="shared" si="26"/>
        <v>1614833758</v>
      </c>
      <c r="O206" s="113">
        <f t="shared" si="27"/>
        <v>-2790917</v>
      </c>
      <c r="P206" s="113">
        <f t="shared" si="28"/>
        <v>-6391417</v>
      </c>
      <c r="Q206" s="229">
        <v>0</v>
      </c>
    </row>
    <row r="207" spans="9:17">
      <c r="I207" s="189" t="s">
        <v>5215</v>
      </c>
      <c r="J207" s="188">
        <f>L207-L206-1300000</f>
        <v>-17889835</v>
      </c>
      <c r="K207" s="189" t="s">
        <v>5213</v>
      </c>
      <c r="L207" s="237">
        <v>974512882</v>
      </c>
      <c r="M207" s="237">
        <v>611227725</v>
      </c>
      <c r="N207" s="188">
        <f t="shared" si="26"/>
        <v>1585740607</v>
      </c>
      <c r="O207" s="188">
        <f>M207-M206-230000</f>
        <v>-12733316</v>
      </c>
      <c r="P207" s="188">
        <f>N207-N206-1530000</f>
        <v>-30623151</v>
      </c>
      <c r="Q207" s="229">
        <v>1530000</v>
      </c>
    </row>
    <row r="208" spans="9:17">
      <c r="I208" s="216" t="s">
        <v>5217</v>
      </c>
      <c r="J208" s="244">
        <f>L208-L207-230000</f>
        <v>26666770</v>
      </c>
      <c r="K208" s="216" t="s">
        <v>5216</v>
      </c>
      <c r="L208" s="245">
        <v>1001409652</v>
      </c>
      <c r="M208" s="245">
        <v>627313031</v>
      </c>
      <c r="N208" s="244">
        <f t="shared" si="26"/>
        <v>1628722683</v>
      </c>
      <c r="O208" s="244">
        <f>M208-M207+880000</f>
        <v>16965306</v>
      </c>
      <c r="P208" s="244">
        <f t="shared" si="28"/>
        <v>42982076</v>
      </c>
      <c r="Q208" s="229">
        <v>-650000</v>
      </c>
    </row>
    <row r="209" spans="9:19">
      <c r="I209" s="189" t="s">
        <v>5218</v>
      </c>
      <c r="J209" s="188">
        <f>L209-L208-880000</f>
        <v>38363123</v>
      </c>
      <c r="K209" s="189" t="s">
        <v>5219</v>
      </c>
      <c r="L209" s="237">
        <v>1040652775</v>
      </c>
      <c r="M209" s="237">
        <v>653526288</v>
      </c>
      <c r="N209" s="220">
        <f t="shared" si="26"/>
        <v>1694179063</v>
      </c>
      <c r="O209" s="188">
        <f t="shared" si="27"/>
        <v>26213257</v>
      </c>
      <c r="P209" s="188">
        <f>N209-N208-880000</f>
        <v>64576380</v>
      </c>
      <c r="Q209" s="229">
        <v>880000</v>
      </c>
    </row>
    <row r="210" spans="9:19">
      <c r="I210" s="216" t="s">
        <v>5223</v>
      </c>
      <c r="J210" s="244">
        <f>L210-L209+900000</f>
        <v>20298534</v>
      </c>
      <c r="K210" s="216" t="s">
        <v>5221</v>
      </c>
      <c r="L210" s="245">
        <v>1060051309</v>
      </c>
      <c r="M210" s="245">
        <v>663872836</v>
      </c>
      <c r="N210" s="220">
        <f t="shared" si="26"/>
        <v>1723924145</v>
      </c>
      <c r="O210" s="244">
        <f>M210-M209-200000</f>
        <v>10146548</v>
      </c>
      <c r="P210" s="244">
        <f>N210-N209+700000</f>
        <v>30445082</v>
      </c>
      <c r="Q210" s="229">
        <v>-700000</v>
      </c>
    </row>
    <row r="211" spans="9:19">
      <c r="I211" s="189" t="s">
        <v>5224</v>
      </c>
      <c r="J211" s="188">
        <f>L211-L210+3500000</f>
        <v>4965285</v>
      </c>
      <c r="K211" s="189" t="s">
        <v>989</v>
      </c>
      <c r="L211" s="237">
        <v>1061516594</v>
      </c>
      <c r="M211" s="237">
        <v>663100475</v>
      </c>
      <c r="N211" s="188">
        <f t="shared" si="26"/>
        <v>1724617069</v>
      </c>
      <c r="O211" s="188">
        <f>M211-M210-4300000</f>
        <v>-5072361</v>
      </c>
      <c r="P211" s="188">
        <f>N211-N210-800000</f>
        <v>-107076</v>
      </c>
      <c r="Q211" s="229">
        <v>800000</v>
      </c>
    </row>
    <row r="212" spans="9:19">
      <c r="I212" s="213" t="s">
        <v>5225</v>
      </c>
      <c r="J212" s="113">
        <f>L212-L211+1600000</f>
        <v>-56870795</v>
      </c>
      <c r="K212" s="213" t="s">
        <v>4271</v>
      </c>
      <c r="L212" s="84">
        <v>1003045799</v>
      </c>
      <c r="M212" s="84">
        <v>634655771</v>
      </c>
      <c r="N212" s="113">
        <f t="shared" si="26"/>
        <v>1637701570</v>
      </c>
      <c r="O212" s="113">
        <f>M212-M211-1600000</f>
        <v>-30044704</v>
      </c>
      <c r="P212" s="113">
        <f>N212-N211</f>
        <v>-86915499</v>
      </c>
      <c r="Q212" s="229">
        <v>0</v>
      </c>
    </row>
    <row r="213" spans="9:19">
      <c r="I213" s="213" t="s">
        <v>5226</v>
      </c>
      <c r="J213" s="113">
        <f>L213-L212+800000</f>
        <v>15351721</v>
      </c>
      <c r="K213" s="213" t="s">
        <v>5227</v>
      </c>
      <c r="L213" s="84">
        <v>1017597520</v>
      </c>
      <c r="M213" s="84">
        <v>638870084</v>
      </c>
      <c r="N213" s="113">
        <f t="shared" si="26"/>
        <v>1656467604</v>
      </c>
      <c r="O213" s="113">
        <f>M213-M212+10000000</f>
        <v>14214313</v>
      </c>
      <c r="P213" s="113">
        <f>N213-N212+10800000</f>
        <v>29566034</v>
      </c>
      <c r="Q213" s="229">
        <v>-10800000</v>
      </c>
    </row>
    <row r="214" spans="9:19">
      <c r="I214" s="216" t="s">
        <v>5234</v>
      </c>
      <c r="J214" s="244">
        <f t="shared" si="25"/>
        <v>-18127600</v>
      </c>
      <c r="K214" s="216" t="s">
        <v>5229</v>
      </c>
      <c r="L214" s="245">
        <v>999469920</v>
      </c>
      <c r="M214" s="245">
        <v>621895248</v>
      </c>
      <c r="N214" s="244">
        <f t="shared" ref="N214:N239" si="29">L214+M214</f>
        <v>1621365168</v>
      </c>
      <c r="O214" s="244">
        <f>M214-M213-771000</f>
        <v>-17745836</v>
      </c>
      <c r="P214" s="244">
        <f>N214-N213-771000</f>
        <v>-35873436</v>
      </c>
      <c r="Q214" s="229">
        <v>771000</v>
      </c>
    </row>
    <row r="215" spans="9:19">
      <c r="I215" s="213"/>
      <c r="J215" s="113">
        <f t="shared" si="25"/>
        <v>11344596</v>
      </c>
      <c r="K215" s="213" t="s">
        <v>5235</v>
      </c>
      <c r="L215" s="84">
        <v>1010814516</v>
      </c>
      <c r="M215" s="84">
        <v>632227289</v>
      </c>
      <c r="N215" s="113">
        <f t="shared" si="29"/>
        <v>1643041805</v>
      </c>
      <c r="O215" s="113">
        <f t="shared" ref="O215:O239" si="30">M215-M214</f>
        <v>10332041</v>
      </c>
      <c r="P215" s="113">
        <f t="shared" ref="P215:P237" si="31">N215-N214</f>
        <v>21676637</v>
      </c>
      <c r="Q215" s="229">
        <v>0</v>
      </c>
    </row>
    <row r="216" spans="9:19">
      <c r="I216" s="213"/>
      <c r="J216" s="113">
        <f t="shared" si="25"/>
        <v>3409742</v>
      </c>
      <c r="K216" s="213" t="s">
        <v>973</v>
      </c>
      <c r="L216" s="84">
        <v>1014224258</v>
      </c>
      <c r="M216" s="84">
        <v>635501882</v>
      </c>
      <c r="N216" s="113">
        <f t="shared" si="29"/>
        <v>1649726140</v>
      </c>
      <c r="O216" s="113">
        <f t="shared" si="30"/>
        <v>3274593</v>
      </c>
      <c r="P216" s="113">
        <f t="shared" si="31"/>
        <v>6684335</v>
      </c>
      <c r="Q216" s="229">
        <v>0</v>
      </c>
    </row>
    <row r="217" spans="9:19">
      <c r="I217" s="216" t="s">
        <v>5237</v>
      </c>
      <c r="J217" s="244">
        <f>L217-L216-50000</f>
        <v>-3947893</v>
      </c>
      <c r="K217" s="216" t="s">
        <v>5236</v>
      </c>
      <c r="L217" s="245">
        <v>1010326365</v>
      </c>
      <c r="M217" s="245">
        <v>632690003</v>
      </c>
      <c r="N217" s="244">
        <f t="shared" si="29"/>
        <v>1643016368</v>
      </c>
      <c r="O217" s="244">
        <f t="shared" si="30"/>
        <v>-2811879</v>
      </c>
      <c r="P217" s="244">
        <f>N217-N216-50000</f>
        <v>-6759772</v>
      </c>
      <c r="Q217" s="229">
        <v>50000</v>
      </c>
    </row>
    <row r="218" spans="9:19">
      <c r="I218" s="216" t="s">
        <v>5239</v>
      </c>
      <c r="J218" s="244">
        <f>L218-L217-400000</f>
        <v>-7352281</v>
      </c>
      <c r="K218" s="216" t="s">
        <v>5241</v>
      </c>
      <c r="L218" s="245">
        <v>1003374084</v>
      </c>
      <c r="M218" s="245">
        <v>629402570</v>
      </c>
      <c r="N218" s="244">
        <f t="shared" si="29"/>
        <v>1632776654</v>
      </c>
      <c r="O218" s="244">
        <f t="shared" si="30"/>
        <v>-3287433</v>
      </c>
      <c r="P218" s="244">
        <f>N218-N217-400000</f>
        <v>-10639714</v>
      </c>
      <c r="Q218" s="229">
        <v>400000</v>
      </c>
      <c r="S218" t="s">
        <v>25</v>
      </c>
    </row>
    <row r="219" spans="9:19">
      <c r="I219" s="213"/>
      <c r="J219" s="113">
        <f t="shared" si="25"/>
        <v>-3856402</v>
      </c>
      <c r="K219" s="213" t="s">
        <v>5243</v>
      </c>
      <c r="L219" s="84">
        <v>999517682</v>
      </c>
      <c r="M219" s="84">
        <v>627640361</v>
      </c>
      <c r="N219" s="113">
        <f t="shared" si="29"/>
        <v>1627158043</v>
      </c>
      <c r="O219" s="113">
        <f t="shared" si="30"/>
        <v>-1762209</v>
      </c>
      <c r="P219" s="113">
        <f t="shared" si="31"/>
        <v>-5618611</v>
      </c>
      <c r="Q219" s="229">
        <v>0</v>
      </c>
    </row>
    <row r="220" spans="9:19">
      <c r="I220" s="189" t="s">
        <v>5245</v>
      </c>
      <c r="J220" s="188">
        <f t="shared" si="25"/>
        <v>30762624</v>
      </c>
      <c r="K220" s="189" t="s">
        <v>5244</v>
      </c>
      <c r="L220" s="237">
        <v>1030280306</v>
      </c>
      <c r="M220" s="237">
        <v>645538230</v>
      </c>
      <c r="N220" s="188">
        <f t="shared" si="29"/>
        <v>1675818536</v>
      </c>
      <c r="O220" s="188">
        <f>M220-M219+500000</f>
        <v>18397869</v>
      </c>
      <c r="P220" s="188">
        <f>N220-N219+500000</f>
        <v>49160493</v>
      </c>
      <c r="Q220" s="229">
        <v>-500000</v>
      </c>
    </row>
    <row r="221" spans="9:19">
      <c r="I221" s="213"/>
      <c r="J221" s="113">
        <f t="shared" si="25"/>
        <v>-16347657</v>
      </c>
      <c r="K221" s="213" t="s">
        <v>5211</v>
      </c>
      <c r="L221" s="84">
        <v>1013932649</v>
      </c>
      <c r="M221" s="84">
        <v>635152182</v>
      </c>
      <c r="N221" s="113">
        <f t="shared" si="29"/>
        <v>1649084831</v>
      </c>
      <c r="O221" s="113">
        <f t="shared" si="30"/>
        <v>-10386048</v>
      </c>
      <c r="P221" s="113">
        <f t="shared" si="31"/>
        <v>-26733705</v>
      </c>
      <c r="Q221" s="229">
        <v>0</v>
      </c>
    </row>
    <row r="222" spans="9:19">
      <c r="I222" s="272" t="s">
        <v>5251</v>
      </c>
      <c r="J222" s="273">
        <f>L222-L221+7000000</f>
        <v>4431891</v>
      </c>
      <c r="K222" s="272" t="s">
        <v>5252</v>
      </c>
      <c r="L222" s="274">
        <v>1011364540</v>
      </c>
      <c r="M222" s="274">
        <v>634014280</v>
      </c>
      <c r="N222" s="273">
        <f t="shared" si="29"/>
        <v>1645378820</v>
      </c>
      <c r="O222" s="273">
        <f t="shared" si="30"/>
        <v>-1137902</v>
      </c>
      <c r="P222" s="273">
        <f>N222-N221+7000000</f>
        <v>3293989</v>
      </c>
      <c r="Q222" s="229">
        <v>-7000000</v>
      </c>
    </row>
    <row r="223" spans="9:19">
      <c r="I223" s="216" t="s">
        <v>5254</v>
      </c>
      <c r="J223" s="244">
        <f t="shared" si="25"/>
        <v>-12364540</v>
      </c>
      <c r="K223" s="216" t="s">
        <v>5253</v>
      </c>
      <c r="L223" s="245">
        <v>999000000</v>
      </c>
      <c r="M223" s="245">
        <v>628000000</v>
      </c>
      <c r="N223" s="244">
        <f t="shared" si="29"/>
        <v>1627000000</v>
      </c>
      <c r="O223" s="244">
        <f>M223-M222-300000</f>
        <v>-6314280</v>
      </c>
      <c r="P223" s="244">
        <f>N223-N222-300000</f>
        <v>-18678820</v>
      </c>
      <c r="Q223" s="229">
        <v>300000</v>
      </c>
    </row>
    <row r="224" spans="9:19">
      <c r="I224" s="213"/>
      <c r="J224" s="113">
        <f t="shared" si="25"/>
        <v>1428495</v>
      </c>
      <c r="K224" s="213" t="s">
        <v>5255</v>
      </c>
      <c r="L224" s="84">
        <v>1000428495</v>
      </c>
      <c r="M224" s="84">
        <v>629000000</v>
      </c>
      <c r="N224" s="113">
        <f t="shared" si="29"/>
        <v>1629428495</v>
      </c>
      <c r="O224" s="113">
        <f t="shared" si="30"/>
        <v>1000000</v>
      </c>
      <c r="P224" s="113">
        <f t="shared" si="31"/>
        <v>2428495</v>
      </c>
      <c r="Q224" s="229">
        <v>0</v>
      </c>
    </row>
    <row r="225" spans="9:19">
      <c r="I225" s="213"/>
      <c r="J225" s="113">
        <f t="shared" si="25"/>
        <v>211881</v>
      </c>
      <c r="K225" s="213" t="s">
        <v>5256</v>
      </c>
      <c r="L225" s="84">
        <v>1000640376</v>
      </c>
      <c r="M225" s="84">
        <v>627621912</v>
      </c>
      <c r="N225" s="113">
        <f t="shared" si="29"/>
        <v>1628262288</v>
      </c>
      <c r="O225" s="113">
        <f t="shared" si="30"/>
        <v>-1378088</v>
      </c>
      <c r="P225" s="113">
        <f t="shared" si="31"/>
        <v>-1166207</v>
      </c>
      <c r="Q225" s="229">
        <v>0</v>
      </c>
    </row>
    <row r="226" spans="9:19">
      <c r="I226" s="213"/>
      <c r="J226" s="113">
        <f t="shared" si="25"/>
        <v>-5640376</v>
      </c>
      <c r="K226" s="213" t="s">
        <v>5257</v>
      </c>
      <c r="L226" s="84">
        <v>995000000</v>
      </c>
      <c r="M226" s="84">
        <v>625000000</v>
      </c>
      <c r="N226" s="113">
        <f t="shared" si="29"/>
        <v>1620000000</v>
      </c>
      <c r="O226" s="113">
        <f t="shared" si="30"/>
        <v>-2621912</v>
      </c>
      <c r="P226" s="113">
        <f t="shared" si="31"/>
        <v>-8262288</v>
      </c>
      <c r="Q226" s="229">
        <v>0</v>
      </c>
    </row>
    <row r="227" spans="9:19">
      <c r="I227" s="189" t="s">
        <v>5258</v>
      </c>
      <c r="J227" s="188">
        <f t="shared" si="25"/>
        <v>-3000000</v>
      </c>
      <c r="K227" s="189" t="s">
        <v>988</v>
      </c>
      <c r="L227" s="237">
        <v>992000000</v>
      </c>
      <c r="M227" s="237">
        <v>624000000</v>
      </c>
      <c r="N227" s="188">
        <f t="shared" si="29"/>
        <v>1616000000</v>
      </c>
      <c r="O227" s="188">
        <f>M227-M226+50000</f>
        <v>-950000</v>
      </c>
      <c r="P227" s="188">
        <f>N227-N226+50000</f>
        <v>-3950000</v>
      </c>
      <c r="Q227" s="229">
        <v>-50000</v>
      </c>
    </row>
    <row r="228" spans="9:19">
      <c r="I228" s="213"/>
      <c r="J228" s="113">
        <f t="shared" si="25"/>
        <v>-5000000</v>
      </c>
      <c r="K228" s="213" t="s">
        <v>5260</v>
      </c>
      <c r="L228" s="84">
        <v>987000000</v>
      </c>
      <c r="M228" s="84">
        <v>621000000</v>
      </c>
      <c r="N228" s="113">
        <f t="shared" si="29"/>
        <v>1608000000</v>
      </c>
      <c r="O228" s="113">
        <f t="shared" si="30"/>
        <v>-3000000</v>
      </c>
      <c r="P228" s="113">
        <f t="shared" si="31"/>
        <v>-8000000</v>
      </c>
      <c r="Q228" s="229">
        <v>0</v>
      </c>
    </row>
    <row r="229" spans="9:19">
      <c r="I229" s="213"/>
      <c r="J229" s="113">
        <f t="shared" si="25"/>
        <v>-3300000</v>
      </c>
      <c r="K229" s="213" t="s">
        <v>5261</v>
      </c>
      <c r="L229" s="84">
        <v>983700000</v>
      </c>
      <c r="M229" s="84">
        <v>617000000</v>
      </c>
      <c r="N229" s="113">
        <f t="shared" si="29"/>
        <v>1600700000</v>
      </c>
      <c r="O229" s="113">
        <f t="shared" si="30"/>
        <v>-4000000</v>
      </c>
      <c r="P229" s="113">
        <f t="shared" si="31"/>
        <v>-7300000</v>
      </c>
      <c r="Q229" s="229">
        <v>0</v>
      </c>
    </row>
    <row r="230" spans="9:19">
      <c r="I230" s="213"/>
      <c r="J230" s="113">
        <f t="shared" si="25"/>
        <v>-2353171</v>
      </c>
      <c r="K230" s="213" t="s">
        <v>5262</v>
      </c>
      <c r="L230" s="84">
        <v>981346829</v>
      </c>
      <c r="M230" s="84">
        <v>616768631</v>
      </c>
      <c r="N230" s="113">
        <f>L230+M230</f>
        <v>1598115460</v>
      </c>
      <c r="O230" s="113">
        <f t="shared" si="30"/>
        <v>-231369</v>
      </c>
      <c r="P230" s="113">
        <f t="shared" si="31"/>
        <v>-2584540</v>
      </c>
      <c r="Q230" s="229">
        <v>0</v>
      </c>
    </row>
    <row r="231" spans="9:19">
      <c r="I231" s="189" t="s">
        <v>5264</v>
      </c>
      <c r="J231" s="188">
        <f t="shared" si="25"/>
        <v>-16599065</v>
      </c>
      <c r="K231" s="189" t="s">
        <v>4389</v>
      </c>
      <c r="L231" s="237">
        <v>964747764</v>
      </c>
      <c r="M231" s="237">
        <v>608415190</v>
      </c>
      <c r="N231" s="188">
        <f t="shared" si="29"/>
        <v>1573162954</v>
      </c>
      <c r="O231" s="188">
        <f t="shared" si="30"/>
        <v>-8353441</v>
      </c>
      <c r="P231" s="188">
        <f t="shared" si="31"/>
        <v>-24952506</v>
      </c>
      <c r="Q231" s="229">
        <v>-268952</v>
      </c>
      <c r="S231" t="s">
        <v>25</v>
      </c>
    </row>
    <row r="232" spans="9:19">
      <c r="I232" s="213"/>
      <c r="J232" s="113">
        <f t="shared" si="25"/>
        <v>18016509</v>
      </c>
      <c r="K232" s="213" t="s">
        <v>5263</v>
      </c>
      <c r="L232" s="84">
        <v>982764273</v>
      </c>
      <c r="M232" s="84">
        <v>618232370</v>
      </c>
      <c r="N232" s="113">
        <f t="shared" si="29"/>
        <v>1600996643</v>
      </c>
      <c r="O232" s="113">
        <f t="shared" si="30"/>
        <v>9817180</v>
      </c>
      <c r="P232" s="113">
        <f t="shared" si="31"/>
        <v>27833689</v>
      </c>
      <c r="Q232" s="229">
        <v>0</v>
      </c>
    </row>
    <row r="233" spans="9:19">
      <c r="I233" s="189" t="s">
        <v>5268</v>
      </c>
      <c r="J233" s="188">
        <f>L233-L232+990760</f>
        <v>270597</v>
      </c>
      <c r="K233" s="189" t="s">
        <v>5267</v>
      </c>
      <c r="L233" s="237">
        <v>982044110</v>
      </c>
      <c r="M233" s="237">
        <v>618201286</v>
      </c>
      <c r="N233" s="188">
        <f t="shared" si="29"/>
        <v>1600245396</v>
      </c>
      <c r="O233" s="188">
        <f t="shared" si="30"/>
        <v>-31084</v>
      </c>
      <c r="P233" s="188">
        <f>N233-N232+990760</f>
        <v>239513</v>
      </c>
      <c r="Q233" s="229">
        <v>-990760</v>
      </c>
    </row>
    <row r="234" spans="9:19">
      <c r="I234" s="213"/>
      <c r="J234" s="113">
        <f t="shared" si="25"/>
        <v>5089506</v>
      </c>
      <c r="K234" s="213" t="s">
        <v>5269</v>
      </c>
      <c r="L234" s="84">
        <v>987133616</v>
      </c>
      <c r="M234" s="84">
        <v>620624722</v>
      </c>
      <c r="N234" s="113">
        <f t="shared" si="29"/>
        <v>1607758338</v>
      </c>
      <c r="O234" s="113">
        <f t="shared" si="30"/>
        <v>2423436</v>
      </c>
      <c r="P234" s="113">
        <f t="shared" si="31"/>
        <v>7512942</v>
      </c>
      <c r="Q234" s="229">
        <v>0</v>
      </c>
    </row>
    <row r="235" spans="9:19">
      <c r="I235" s="213"/>
      <c r="J235" s="113">
        <f t="shared" si="25"/>
        <v>4922472</v>
      </c>
      <c r="K235" s="213" t="s">
        <v>5270</v>
      </c>
      <c r="L235" s="84">
        <v>992056088</v>
      </c>
      <c r="M235" s="84">
        <v>622612430</v>
      </c>
      <c r="N235" s="113">
        <f t="shared" si="29"/>
        <v>1614668518</v>
      </c>
      <c r="O235" s="113">
        <f t="shared" si="30"/>
        <v>1987708</v>
      </c>
      <c r="P235" s="113">
        <f t="shared" si="31"/>
        <v>6910180</v>
      </c>
      <c r="Q235" s="229">
        <v>0</v>
      </c>
    </row>
    <row r="236" spans="9:19">
      <c r="I236" s="213"/>
      <c r="J236" s="113">
        <f t="shared" si="25"/>
        <v>-8549283</v>
      </c>
      <c r="K236" s="213" t="s">
        <v>5274</v>
      </c>
      <c r="L236" s="84">
        <v>983506805</v>
      </c>
      <c r="M236" s="84">
        <v>617484940</v>
      </c>
      <c r="N236" s="113">
        <f t="shared" si="29"/>
        <v>1600991745</v>
      </c>
      <c r="O236" s="113">
        <f t="shared" si="30"/>
        <v>-5127490</v>
      </c>
      <c r="P236" s="113">
        <f t="shared" si="31"/>
        <v>-13676773</v>
      </c>
      <c r="Q236" s="229">
        <v>0</v>
      </c>
    </row>
    <row r="237" spans="9:19">
      <c r="I237" s="213"/>
      <c r="J237" s="113">
        <f t="shared" si="25"/>
        <v>-9570969</v>
      </c>
      <c r="K237" s="213" t="s">
        <v>5275</v>
      </c>
      <c r="L237" s="84">
        <v>973935836</v>
      </c>
      <c r="M237" s="84">
        <v>612781866</v>
      </c>
      <c r="N237" s="113">
        <f t="shared" si="29"/>
        <v>1586717702</v>
      </c>
      <c r="O237" s="113">
        <f t="shared" si="30"/>
        <v>-4703074</v>
      </c>
      <c r="P237" s="113">
        <f t="shared" si="31"/>
        <v>-14274043</v>
      </c>
      <c r="Q237" s="229">
        <v>0</v>
      </c>
    </row>
    <row r="238" spans="9:19">
      <c r="I238" s="216" t="s">
        <v>5277</v>
      </c>
      <c r="J238" s="244">
        <f>L238-L237-101268</f>
        <v>10034013</v>
      </c>
      <c r="K238" s="216" t="s">
        <v>5276</v>
      </c>
      <c r="L238" s="245">
        <v>984071117</v>
      </c>
      <c r="M238" s="245">
        <v>619527192</v>
      </c>
      <c r="N238" s="244">
        <f t="shared" si="29"/>
        <v>1603598309</v>
      </c>
      <c r="O238" s="244">
        <f t="shared" si="30"/>
        <v>6745326</v>
      </c>
      <c r="P238" s="244">
        <f>N238-N237-101268</f>
        <v>16779339</v>
      </c>
      <c r="Q238" s="229">
        <v>101268</v>
      </c>
    </row>
    <row r="239" spans="9:19">
      <c r="I239" s="275" t="s">
        <v>5278</v>
      </c>
      <c r="J239" s="94">
        <f>L239-L238-101000</f>
        <v>-5512506</v>
      </c>
      <c r="K239" s="275" t="s">
        <v>5279</v>
      </c>
      <c r="L239" s="276">
        <v>978659611</v>
      </c>
      <c r="M239" s="276">
        <v>617623197</v>
      </c>
      <c r="N239" s="94">
        <f t="shared" si="29"/>
        <v>1596282808</v>
      </c>
      <c r="O239" s="94">
        <f t="shared" si="30"/>
        <v>-1903995</v>
      </c>
      <c r="P239" s="94">
        <f>N239-N238-101000</f>
        <v>-7416501</v>
      </c>
      <c r="Q239" s="229">
        <v>101000</v>
      </c>
    </row>
    <row r="240" spans="9:19">
      <c r="I240" s="213"/>
      <c r="J240" s="113">
        <f t="shared" ref="J240:J369" si="32">L240-L239</f>
        <v>-3538077</v>
      </c>
      <c r="K240" s="213" t="s">
        <v>5280</v>
      </c>
      <c r="L240" s="84">
        <v>975121534</v>
      </c>
      <c r="M240" s="84">
        <v>616980448</v>
      </c>
      <c r="N240" s="113">
        <f t="shared" ref="N240:N369" si="33">L240+M240</f>
        <v>1592101982</v>
      </c>
      <c r="O240" s="113">
        <f t="shared" ref="O240:O369" si="34">M240-M239</f>
        <v>-642749</v>
      </c>
      <c r="P240" s="113">
        <f t="shared" ref="P240:P369" si="35">N240-N239</f>
        <v>-4180826</v>
      </c>
      <c r="Q240" s="229">
        <v>0</v>
      </c>
    </row>
    <row r="241" spans="9:19">
      <c r="I241" s="213"/>
      <c r="J241" s="113">
        <f t="shared" si="32"/>
        <v>8213727</v>
      </c>
      <c r="K241" s="213" t="s">
        <v>5282</v>
      </c>
      <c r="L241" s="84">
        <v>983335261</v>
      </c>
      <c r="M241" s="84">
        <v>621742615</v>
      </c>
      <c r="N241" s="113">
        <f t="shared" si="33"/>
        <v>1605077876</v>
      </c>
      <c r="O241" s="113">
        <f t="shared" si="34"/>
        <v>4762167</v>
      </c>
      <c r="P241" s="113">
        <f t="shared" si="35"/>
        <v>12975894</v>
      </c>
      <c r="Q241" s="229">
        <v>0</v>
      </c>
    </row>
    <row r="242" spans="9:19">
      <c r="I242" s="213"/>
      <c r="J242" s="113">
        <f t="shared" si="32"/>
        <v>-102557</v>
      </c>
      <c r="K242" s="213" t="s">
        <v>994</v>
      </c>
      <c r="L242" s="84">
        <v>983232704</v>
      </c>
      <c r="M242" s="84">
        <v>621149949</v>
      </c>
      <c r="N242" s="113">
        <f t="shared" si="33"/>
        <v>1604382653</v>
      </c>
      <c r="O242" s="113">
        <f t="shared" si="34"/>
        <v>-592666</v>
      </c>
      <c r="P242" s="113">
        <f t="shared" si="35"/>
        <v>-695223</v>
      </c>
      <c r="Q242" s="229">
        <v>0</v>
      </c>
    </row>
    <row r="243" spans="9:19">
      <c r="I243" s="213"/>
      <c r="J243" s="113">
        <f t="shared" si="32"/>
        <v>27014</v>
      </c>
      <c r="K243" s="213" t="s">
        <v>5284</v>
      </c>
      <c r="L243" s="84">
        <v>983259718</v>
      </c>
      <c r="M243" s="84">
        <v>621468793</v>
      </c>
      <c r="N243" s="113">
        <f t="shared" si="33"/>
        <v>1604728511</v>
      </c>
      <c r="O243" s="113">
        <f t="shared" si="34"/>
        <v>318844</v>
      </c>
      <c r="P243" s="113">
        <f t="shared" si="35"/>
        <v>345858</v>
      </c>
      <c r="Q243" s="229">
        <v>0</v>
      </c>
    </row>
    <row r="244" spans="9:19">
      <c r="I244" s="213"/>
      <c r="J244" s="113">
        <f t="shared" si="32"/>
        <v>19769</v>
      </c>
      <c r="K244" s="213" t="s">
        <v>5285</v>
      </c>
      <c r="L244" s="84">
        <v>983279487</v>
      </c>
      <c r="M244" s="84">
        <v>620877319</v>
      </c>
      <c r="N244" s="113">
        <f t="shared" si="33"/>
        <v>1604156806</v>
      </c>
      <c r="O244" s="113">
        <f t="shared" si="34"/>
        <v>-591474</v>
      </c>
      <c r="P244" s="113">
        <f t="shared" si="35"/>
        <v>-571705</v>
      </c>
      <c r="Q244" s="229">
        <v>0</v>
      </c>
    </row>
    <row r="245" spans="9:19">
      <c r="I245" s="213"/>
      <c r="J245" s="113">
        <f t="shared" si="32"/>
        <v>15299717</v>
      </c>
      <c r="K245" s="213" t="s">
        <v>5286</v>
      </c>
      <c r="L245" s="84">
        <v>998579204</v>
      </c>
      <c r="M245" s="84">
        <v>629376264</v>
      </c>
      <c r="N245" s="113">
        <f t="shared" si="33"/>
        <v>1627955468</v>
      </c>
      <c r="O245" s="113">
        <f t="shared" si="34"/>
        <v>8498945</v>
      </c>
      <c r="P245" s="113">
        <f t="shared" si="35"/>
        <v>23798662</v>
      </c>
      <c r="Q245" s="229">
        <v>0</v>
      </c>
    </row>
    <row r="246" spans="9:19">
      <c r="I246" s="213"/>
      <c r="J246" s="113">
        <f t="shared" si="32"/>
        <v>8005</v>
      </c>
      <c r="K246" s="213" t="s">
        <v>5289</v>
      </c>
      <c r="L246" s="84">
        <v>998587209</v>
      </c>
      <c r="M246" s="84">
        <v>628989460</v>
      </c>
      <c r="N246" s="113">
        <f t="shared" si="33"/>
        <v>1627576669</v>
      </c>
      <c r="O246" s="113">
        <f t="shared" si="34"/>
        <v>-386804</v>
      </c>
      <c r="P246" s="113">
        <f t="shared" si="35"/>
        <v>-378799</v>
      </c>
      <c r="Q246" s="229">
        <v>0</v>
      </c>
    </row>
    <row r="247" spans="9:19">
      <c r="I247" s="189" t="s">
        <v>5291</v>
      </c>
      <c r="J247" s="188">
        <f t="shared" si="32"/>
        <v>57939414</v>
      </c>
      <c r="K247" s="189" t="s">
        <v>5290</v>
      </c>
      <c r="L247" s="237">
        <v>1056526623</v>
      </c>
      <c r="M247" s="237">
        <v>660656770</v>
      </c>
      <c r="N247" s="220">
        <f t="shared" si="33"/>
        <v>1717183393</v>
      </c>
      <c r="O247" s="188">
        <f>M247-M246+3020635</f>
        <v>34687945</v>
      </c>
      <c r="P247" s="188">
        <f>N247-N246+3020635</f>
        <v>92627359</v>
      </c>
      <c r="Q247" s="229">
        <v>-3020635</v>
      </c>
    </row>
    <row r="248" spans="9:19">
      <c r="I248" s="213"/>
      <c r="J248" s="113">
        <f t="shared" si="32"/>
        <v>8473377</v>
      </c>
      <c r="K248" s="213" t="s">
        <v>5292</v>
      </c>
      <c r="L248" s="84">
        <v>1065000000</v>
      </c>
      <c r="M248" s="84">
        <v>666000000</v>
      </c>
      <c r="N248" s="220">
        <f t="shared" si="33"/>
        <v>1731000000</v>
      </c>
      <c r="O248" s="113">
        <f t="shared" si="34"/>
        <v>5343230</v>
      </c>
      <c r="P248" s="113">
        <f t="shared" si="35"/>
        <v>13816607</v>
      </c>
      <c r="Q248" s="229">
        <v>0</v>
      </c>
    </row>
    <row r="249" spans="9:19">
      <c r="I249" s="213"/>
      <c r="J249" s="113">
        <f t="shared" si="32"/>
        <v>10753986</v>
      </c>
      <c r="K249" s="213" t="s">
        <v>5293</v>
      </c>
      <c r="L249" s="84">
        <v>1075753986</v>
      </c>
      <c r="M249" s="84">
        <v>672067588</v>
      </c>
      <c r="N249" s="220">
        <f t="shared" si="33"/>
        <v>1747821574</v>
      </c>
      <c r="O249" s="113">
        <f t="shared" si="34"/>
        <v>6067588</v>
      </c>
      <c r="P249" s="113">
        <f t="shared" si="35"/>
        <v>16821574</v>
      </c>
      <c r="Q249" s="229">
        <v>0</v>
      </c>
      <c r="S249" t="s">
        <v>25</v>
      </c>
    </row>
    <row r="250" spans="9:19">
      <c r="I250" s="213"/>
      <c r="J250" s="113">
        <f t="shared" si="32"/>
        <v>15270785</v>
      </c>
      <c r="K250" s="213" t="s">
        <v>5294</v>
      </c>
      <c r="L250" s="84">
        <v>1091024771</v>
      </c>
      <c r="M250" s="84">
        <v>681049309</v>
      </c>
      <c r="N250" s="220">
        <f t="shared" si="33"/>
        <v>1772074080</v>
      </c>
      <c r="O250" s="113">
        <f t="shared" si="34"/>
        <v>8981721</v>
      </c>
      <c r="P250" s="113">
        <f t="shared" si="35"/>
        <v>24252506</v>
      </c>
      <c r="Q250" s="229">
        <v>0</v>
      </c>
    </row>
    <row r="251" spans="9:19">
      <c r="I251" s="213"/>
      <c r="J251" s="113">
        <f t="shared" si="32"/>
        <v>1705015</v>
      </c>
      <c r="K251" s="213" t="s">
        <v>5295</v>
      </c>
      <c r="L251" s="84">
        <v>1092729786</v>
      </c>
      <c r="M251" s="84">
        <v>682978385</v>
      </c>
      <c r="N251" s="220">
        <f t="shared" si="33"/>
        <v>1775708171</v>
      </c>
      <c r="O251" s="113">
        <f t="shared" si="34"/>
        <v>1929076</v>
      </c>
      <c r="P251" s="113">
        <f t="shared" si="35"/>
        <v>3634091</v>
      </c>
      <c r="Q251" s="229">
        <v>0</v>
      </c>
    </row>
    <row r="252" spans="9:19">
      <c r="I252" s="213"/>
      <c r="J252" s="113">
        <f t="shared" si="32"/>
        <v>14159318</v>
      </c>
      <c r="K252" s="213" t="s">
        <v>4536</v>
      </c>
      <c r="L252" s="84">
        <v>1106889104</v>
      </c>
      <c r="M252" s="84">
        <v>692405112</v>
      </c>
      <c r="N252" s="220">
        <f t="shared" si="33"/>
        <v>1799294216</v>
      </c>
      <c r="O252" s="113">
        <f t="shared" si="34"/>
        <v>9426727</v>
      </c>
      <c r="P252" s="113">
        <f t="shared" si="35"/>
        <v>23586045</v>
      </c>
      <c r="Q252" s="229">
        <v>0</v>
      </c>
    </row>
    <row r="253" spans="9:19">
      <c r="I253" s="213"/>
      <c r="J253" s="113">
        <f t="shared" ref="J253:J266" si="36">L253-L252</f>
        <v>6991706</v>
      </c>
      <c r="K253" s="213" t="s">
        <v>5296</v>
      </c>
      <c r="L253" s="84">
        <v>1113880810</v>
      </c>
      <c r="M253" s="84">
        <v>698734609</v>
      </c>
      <c r="N253" s="220">
        <f t="shared" ref="N253:N266" si="37">L253+M253</f>
        <v>1812615419</v>
      </c>
      <c r="O253" s="113">
        <f t="shared" ref="O253:O266" si="38">M253-M252</f>
        <v>6329497</v>
      </c>
      <c r="P253" s="113">
        <f t="shared" ref="P253:P266" si="39">N253-N252</f>
        <v>13321203</v>
      </c>
      <c r="Q253" s="229">
        <v>0</v>
      </c>
    </row>
    <row r="254" spans="9:19">
      <c r="I254" s="213"/>
      <c r="J254" s="113">
        <f t="shared" si="36"/>
        <v>35275510</v>
      </c>
      <c r="K254" s="213" t="s">
        <v>5297</v>
      </c>
      <c r="L254" s="84">
        <v>1149156320</v>
      </c>
      <c r="M254" s="84">
        <v>720722148</v>
      </c>
      <c r="N254" s="220">
        <f t="shared" si="37"/>
        <v>1869878468</v>
      </c>
      <c r="O254" s="113">
        <f t="shared" si="38"/>
        <v>21987539</v>
      </c>
      <c r="P254" s="113">
        <f t="shared" si="39"/>
        <v>57263049</v>
      </c>
      <c r="Q254" s="229">
        <v>0</v>
      </c>
    </row>
    <row r="255" spans="9:19">
      <c r="I255" s="213"/>
      <c r="J255" s="113">
        <f t="shared" si="36"/>
        <v>5790605</v>
      </c>
      <c r="K255" s="213" t="s">
        <v>5298</v>
      </c>
      <c r="L255" s="84">
        <v>1154946925</v>
      </c>
      <c r="M255" s="84">
        <v>724493233</v>
      </c>
      <c r="N255" s="220">
        <f t="shared" si="37"/>
        <v>1879440158</v>
      </c>
      <c r="O255" s="113">
        <f t="shared" si="38"/>
        <v>3771085</v>
      </c>
      <c r="P255" s="113">
        <f t="shared" si="39"/>
        <v>9561690</v>
      </c>
      <c r="Q255" s="229">
        <v>0</v>
      </c>
    </row>
    <row r="256" spans="9:19">
      <c r="I256" s="213" t="s">
        <v>5299</v>
      </c>
      <c r="J256" s="113">
        <f t="shared" si="36"/>
        <v>40761008</v>
      </c>
      <c r="K256" s="213" t="s">
        <v>5300</v>
      </c>
      <c r="L256" s="84">
        <v>1195707933</v>
      </c>
      <c r="M256" s="84">
        <v>764225161</v>
      </c>
      <c r="N256" s="220">
        <f t="shared" si="37"/>
        <v>1959933094</v>
      </c>
      <c r="O256" s="113">
        <f>M256-M255-18000000</f>
        <v>21731928</v>
      </c>
      <c r="P256" s="113">
        <f>N256-N255-18000000</f>
        <v>62492936</v>
      </c>
      <c r="Q256" s="229">
        <v>18000000</v>
      </c>
    </row>
    <row r="257" spans="9:19">
      <c r="I257" s="213"/>
      <c r="J257" s="113">
        <f t="shared" si="36"/>
        <v>8689599</v>
      </c>
      <c r="K257" s="213" t="s">
        <v>5302</v>
      </c>
      <c r="L257" s="84">
        <v>1204397532</v>
      </c>
      <c r="M257" s="84">
        <v>768290500</v>
      </c>
      <c r="N257" s="220">
        <f t="shared" si="37"/>
        <v>1972688032</v>
      </c>
      <c r="O257" s="113">
        <f t="shared" si="38"/>
        <v>4065339</v>
      </c>
      <c r="P257" s="113">
        <f t="shared" si="39"/>
        <v>12754938</v>
      </c>
      <c r="Q257" s="229">
        <v>0</v>
      </c>
    </row>
    <row r="258" spans="9:19">
      <c r="I258" s="189" t="s">
        <v>5305</v>
      </c>
      <c r="J258" s="188">
        <f>L258-L257+488602</f>
        <v>5275127</v>
      </c>
      <c r="K258" s="189" t="s">
        <v>5303</v>
      </c>
      <c r="L258" s="237">
        <v>1209184057</v>
      </c>
      <c r="M258" s="237">
        <v>771944660</v>
      </c>
      <c r="N258" s="220">
        <f t="shared" si="37"/>
        <v>1981128717</v>
      </c>
      <c r="O258" s="188">
        <f t="shared" si="38"/>
        <v>3654160</v>
      </c>
      <c r="P258" s="188">
        <f>N258-N257+488602</f>
        <v>8929287</v>
      </c>
      <c r="Q258" s="229">
        <v>-488602</v>
      </c>
    </row>
    <row r="259" spans="9:19">
      <c r="I259" s="213"/>
      <c r="J259" s="113">
        <f t="shared" si="36"/>
        <v>-1457235</v>
      </c>
      <c r="K259" s="213" t="s">
        <v>5304</v>
      </c>
      <c r="L259" s="84">
        <v>1207726822</v>
      </c>
      <c r="M259" s="84">
        <v>769784297</v>
      </c>
      <c r="N259" s="113">
        <f t="shared" si="37"/>
        <v>1977511119</v>
      </c>
      <c r="O259" s="113">
        <f t="shared" si="38"/>
        <v>-2160363</v>
      </c>
      <c r="P259" s="113">
        <f t="shared" si="39"/>
        <v>-3617598</v>
      </c>
      <c r="Q259" s="229">
        <v>0</v>
      </c>
      <c r="S259" t="s">
        <v>25</v>
      </c>
    </row>
    <row r="260" spans="9:19">
      <c r="I260" s="213"/>
      <c r="J260" s="113">
        <f t="shared" si="36"/>
        <v>8817225</v>
      </c>
      <c r="K260" s="213" t="s">
        <v>5307</v>
      </c>
      <c r="L260" s="84">
        <v>1216544047</v>
      </c>
      <c r="M260" s="84">
        <v>776626854</v>
      </c>
      <c r="N260" s="220">
        <f t="shared" si="37"/>
        <v>1993170901</v>
      </c>
      <c r="O260" s="113">
        <f t="shared" si="38"/>
        <v>6842557</v>
      </c>
      <c r="P260" s="113">
        <f t="shared" si="39"/>
        <v>15659782</v>
      </c>
      <c r="Q260" s="229">
        <v>0</v>
      </c>
    </row>
    <row r="261" spans="9:19">
      <c r="I261" s="213"/>
      <c r="J261" s="113">
        <f t="shared" si="36"/>
        <v>-36544047</v>
      </c>
      <c r="K261" s="213" t="s">
        <v>5312</v>
      </c>
      <c r="L261" s="84">
        <v>1180000000</v>
      </c>
      <c r="M261" s="84">
        <v>756000000</v>
      </c>
      <c r="N261" s="113">
        <f t="shared" si="37"/>
        <v>1936000000</v>
      </c>
      <c r="O261" s="113">
        <f t="shared" si="38"/>
        <v>-20626854</v>
      </c>
      <c r="P261" s="113">
        <f t="shared" si="39"/>
        <v>-57170901</v>
      </c>
      <c r="Q261" s="229">
        <v>0</v>
      </c>
    </row>
    <row r="262" spans="9:19">
      <c r="I262" s="213"/>
      <c r="J262" s="113">
        <f t="shared" si="36"/>
        <v>-26566965</v>
      </c>
      <c r="K262" s="213" t="s">
        <v>5318</v>
      </c>
      <c r="L262" s="84">
        <v>1153433035</v>
      </c>
      <c r="M262" s="84">
        <v>736240181</v>
      </c>
      <c r="N262" s="113">
        <f t="shared" si="37"/>
        <v>1889673216</v>
      </c>
      <c r="O262" s="113">
        <f t="shared" si="38"/>
        <v>-19759819</v>
      </c>
      <c r="P262" s="113">
        <f t="shared" si="39"/>
        <v>-46326784</v>
      </c>
      <c r="Q262" s="229">
        <v>0</v>
      </c>
    </row>
    <row r="263" spans="9:19">
      <c r="I263" s="216" t="s">
        <v>5320</v>
      </c>
      <c r="J263" s="244">
        <f>L263-L262-360000</f>
        <v>-33793035</v>
      </c>
      <c r="K263" s="216" t="s">
        <v>5319</v>
      </c>
      <c r="L263" s="245">
        <v>1120000000</v>
      </c>
      <c r="M263" s="245">
        <v>718000000</v>
      </c>
      <c r="N263" s="244">
        <f t="shared" si="37"/>
        <v>1838000000</v>
      </c>
      <c r="O263" s="244">
        <f t="shared" si="38"/>
        <v>-18240181</v>
      </c>
      <c r="P263" s="244">
        <f>N263-N262-360000</f>
        <v>-52033216</v>
      </c>
      <c r="Q263" s="229">
        <v>360000</v>
      </c>
      <c r="S263" t="s">
        <v>25</v>
      </c>
    </row>
    <row r="264" spans="9:19">
      <c r="I264" s="213"/>
      <c r="J264" s="113">
        <f t="shared" si="36"/>
        <v>-23994521</v>
      </c>
      <c r="K264" s="213" t="s">
        <v>5321</v>
      </c>
      <c r="L264" s="84">
        <v>1096005479</v>
      </c>
      <c r="M264" s="84">
        <v>699253755</v>
      </c>
      <c r="N264" s="113">
        <f t="shared" si="37"/>
        <v>1795259234</v>
      </c>
      <c r="O264" s="113">
        <f t="shared" si="38"/>
        <v>-18746245</v>
      </c>
      <c r="P264" s="113">
        <f t="shared" si="39"/>
        <v>-42740766</v>
      </c>
      <c r="Q264" s="229">
        <v>0</v>
      </c>
    </row>
    <row r="265" spans="9:19">
      <c r="I265" s="213"/>
      <c r="J265" s="113">
        <f t="shared" si="36"/>
        <v>20648865</v>
      </c>
      <c r="K265" s="213" t="s">
        <v>5324</v>
      </c>
      <c r="L265" s="84">
        <v>1116654344</v>
      </c>
      <c r="M265" s="84">
        <v>712202921</v>
      </c>
      <c r="N265" s="113">
        <f t="shared" si="37"/>
        <v>1828857265</v>
      </c>
      <c r="O265" s="113">
        <f t="shared" si="38"/>
        <v>12949166</v>
      </c>
      <c r="P265" s="113">
        <f t="shared" si="39"/>
        <v>33598031</v>
      </c>
      <c r="Q265" s="229">
        <v>0</v>
      </c>
    </row>
    <row r="266" spans="9:19">
      <c r="I266" s="213"/>
      <c r="J266" s="113">
        <f t="shared" si="36"/>
        <v>54939743</v>
      </c>
      <c r="K266" s="213" t="s">
        <v>5325</v>
      </c>
      <c r="L266" s="84">
        <v>1171594087</v>
      </c>
      <c r="M266" s="84">
        <v>747327095</v>
      </c>
      <c r="N266" s="113">
        <f t="shared" si="37"/>
        <v>1918921182</v>
      </c>
      <c r="O266" s="113">
        <f t="shared" si="38"/>
        <v>35124174</v>
      </c>
      <c r="P266" s="113">
        <f t="shared" si="39"/>
        <v>90063917</v>
      </c>
      <c r="Q266" s="229">
        <v>0</v>
      </c>
      <c r="S266" t="s">
        <v>25</v>
      </c>
    </row>
    <row r="267" spans="9:19">
      <c r="I267" s="213"/>
      <c r="J267" s="113">
        <f t="shared" ref="J267:J281" si="40">L267-L266</f>
        <v>52738541</v>
      </c>
      <c r="K267" s="213" t="s">
        <v>5326</v>
      </c>
      <c r="L267" s="84">
        <v>1224332628</v>
      </c>
      <c r="M267" s="84">
        <v>781297921</v>
      </c>
      <c r="N267" s="220">
        <f t="shared" ref="N267:N281" si="41">L267+M267</f>
        <v>2005630549</v>
      </c>
      <c r="O267" s="113">
        <f t="shared" ref="O267:O281" si="42">M267-M266</f>
        <v>33970826</v>
      </c>
      <c r="P267" s="113">
        <f t="shared" ref="P267:P281" si="43">N267-N266</f>
        <v>86709367</v>
      </c>
      <c r="Q267" s="229">
        <v>0</v>
      </c>
    </row>
    <row r="268" spans="9:19">
      <c r="I268" s="189" t="s">
        <v>5331</v>
      </c>
      <c r="J268" s="188">
        <f>L268-L267+3600000</f>
        <v>6784521</v>
      </c>
      <c r="K268" s="189" t="s">
        <v>5327</v>
      </c>
      <c r="L268" s="237">
        <v>1227517149</v>
      </c>
      <c r="M268" s="237">
        <v>781946723</v>
      </c>
      <c r="N268" s="220">
        <f>L268+M268</f>
        <v>2009463872</v>
      </c>
      <c r="O268" s="188">
        <f t="shared" si="42"/>
        <v>648802</v>
      </c>
      <c r="P268" s="188">
        <f>N268-N267+3600000</f>
        <v>7433323</v>
      </c>
      <c r="Q268" s="229">
        <v>-3600000</v>
      </c>
    </row>
    <row r="269" spans="9:19">
      <c r="I269" s="216" t="s">
        <v>5333</v>
      </c>
      <c r="J269" s="244">
        <f t="shared" si="40"/>
        <v>8668842</v>
      </c>
      <c r="K269" s="216" t="s">
        <v>5330</v>
      </c>
      <c r="L269" s="245">
        <v>1236185991</v>
      </c>
      <c r="M269" s="245">
        <v>790935464</v>
      </c>
      <c r="N269" s="220">
        <f t="shared" si="41"/>
        <v>2027121455</v>
      </c>
      <c r="O269" s="244">
        <f>M269-M268-2000000</f>
        <v>6988741</v>
      </c>
      <c r="P269" s="244">
        <f>N269-N268-2000000</f>
        <v>15657583</v>
      </c>
      <c r="Q269" s="229">
        <v>2000000</v>
      </c>
    </row>
    <row r="270" spans="9:19">
      <c r="I270" s="213"/>
      <c r="J270" s="113">
        <f t="shared" si="40"/>
        <v>59400386</v>
      </c>
      <c r="K270" s="213" t="s">
        <v>5339</v>
      </c>
      <c r="L270" s="84">
        <v>1295586377</v>
      </c>
      <c r="M270" s="84">
        <v>830602955</v>
      </c>
      <c r="N270" s="220">
        <f t="shared" si="41"/>
        <v>2126189332</v>
      </c>
      <c r="O270" s="113">
        <f t="shared" si="42"/>
        <v>39667491</v>
      </c>
      <c r="P270" s="113">
        <f t="shared" si="43"/>
        <v>99067877</v>
      </c>
      <c r="Q270" s="229">
        <v>0</v>
      </c>
    </row>
    <row r="271" spans="9:19">
      <c r="I271" s="189" t="s">
        <v>5341</v>
      </c>
      <c r="J271" s="188">
        <f>L271-L270+1000000</f>
        <v>21062163</v>
      </c>
      <c r="K271" s="189" t="s">
        <v>5340</v>
      </c>
      <c r="L271" s="237">
        <v>1315648540</v>
      </c>
      <c r="M271" s="237">
        <v>837889920</v>
      </c>
      <c r="N271" s="220">
        <f t="shared" si="41"/>
        <v>2153538460</v>
      </c>
      <c r="O271" s="188">
        <f t="shared" si="42"/>
        <v>7286965</v>
      </c>
      <c r="P271" s="188">
        <f>N271-N270+1000000</f>
        <v>28349128</v>
      </c>
      <c r="Q271" s="229">
        <v>-1000000</v>
      </c>
    </row>
    <row r="272" spans="9:19">
      <c r="I272" s="213"/>
      <c r="J272" s="113">
        <f t="shared" si="40"/>
        <v>-25648540</v>
      </c>
      <c r="K272" s="213" t="s">
        <v>5343</v>
      </c>
      <c r="L272" s="84">
        <v>1290000000</v>
      </c>
      <c r="M272" s="84">
        <v>830000000</v>
      </c>
      <c r="N272" s="113">
        <f t="shared" si="41"/>
        <v>2120000000</v>
      </c>
      <c r="O272" s="113">
        <f t="shared" si="42"/>
        <v>-7889920</v>
      </c>
      <c r="P272" s="113">
        <f t="shared" si="43"/>
        <v>-33538460</v>
      </c>
    </row>
    <row r="273" spans="4:23">
      <c r="I273" s="213"/>
      <c r="J273" s="113">
        <f t="shared" si="40"/>
        <v>5173477</v>
      </c>
      <c r="K273" s="213" t="s">
        <v>5347</v>
      </c>
      <c r="L273" s="84">
        <v>1295173477</v>
      </c>
      <c r="M273" s="84">
        <v>832119130</v>
      </c>
      <c r="N273" s="113">
        <f t="shared" si="41"/>
        <v>2127292607</v>
      </c>
      <c r="O273" s="113">
        <f t="shared" si="42"/>
        <v>2119130</v>
      </c>
      <c r="P273" s="113">
        <f t="shared" si="43"/>
        <v>7292607</v>
      </c>
    </row>
    <row r="274" spans="4:23">
      <c r="D274" t="s">
        <v>25</v>
      </c>
      <c r="I274" s="216" t="s">
        <v>5320</v>
      </c>
      <c r="J274" s="244">
        <f>L274-L273-360000</f>
        <v>-3379409</v>
      </c>
      <c r="K274" s="216" t="s">
        <v>5348</v>
      </c>
      <c r="L274" s="245">
        <v>1292154068</v>
      </c>
      <c r="M274" s="245">
        <v>833033746</v>
      </c>
      <c r="N274" s="244">
        <f t="shared" si="41"/>
        <v>2125187814</v>
      </c>
      <c r="O274" s="244">
        <f t="shared" si="42"/>
        <v>914616</v>
      </c>
      <c r="P274" s="244">
        <f>N274-N273-360000</f>
        <v>-2464793</v>
      </c>
      <c r="Q274" s="229">
        <v>360000</v>
      </c>
    </row>
    <row r="275" spans="4:23">
      <c r="I275" s="216" t="s">
        <v>5352</v>
      </c>
      <c r="J275" s="244">
        <f>L275-L274-2000000</f>
        <v>-22946012</v>
      </c>
      <c r="K275" s="216" t="s">
        <v>5351</v>
      </c>
      <c r="L275" s="245">
        <v>1271208056</v>
      </c>
      <c r="M275" s="245">
        <v>825161254</v>
      </c>
      <c r="N275" s="244">
        <f t="shared" si="41"/>
        <v>2096369310</v>
      </c>
      <c r="O275" s="244">
        <f t="shared" si="42"/>
        <v>-7872492</v>
      </c>
      <c r="P275" s="244">
        <f>N275-N274-2000000</f>
        <v>-30818504</v>
      </c>
      <c r="Q275" s="229">
        <v>2000000</v>
      </c>
    </row>
    <row r="276" spans="4:23">
      <c r="I276" s="216" t="s">
        <v>5357</v>
      </c>
      <c r="J276" s="244">
        <f>L276-L275-15300000</f>
        <v>32802006</v>
      </c>
      <c r="K276" s="216" t="s">
        <v>5354</v>
      </c>
      <c r="L276" s="245">
        <v>1319310062</v>
      </c>
      <c r="M276" s="245">
        <v>846171439</v>
      </c>
      <c r="N276" s="244">
        <f t="shared" si="41"/>
        <v>2165481501</v>
      </c>
      <c r="O276" s="244">
        <f>M276-M275-200000</f>
        <v>20810185</v>
      </c>
      <c r="P276" s="244">
        <f>N276-N275-15500000</f>
        <v>53612191</v>
      </c>
      <c r="Q276" s="229">
        <v>15500000</v>
      </c>
    </row>
    <row r="277" spans="4:23">
      <c r="I277" s="216" t="s">
        <v>5360</v>
      </c>
      <c r="J277" s="244">
        <f>L277-L276-3000000</f>
        <v>12429762</v>
      </c>
      <c r="K277" s="216" t="s">
        <v>5359</v>
      </c>
      <c r="L277" s="245">
        <v>1334739824</v>
      </c>
      <c r="M277" s="245">
        <v>848815156</v>
      </c>
      <c r="N277" s="220">
        <f t="shared" si="41"/>
        <v>2183554980</v>
      </c>
      <c r="O277" s="244">
        <f>M277-M276-50000</f>
        <v>2593717</v>
      </c>
      <c r="P277" s="244">
        <f>N277-N276-3050000</f>
        <v>15023479</v>
      </c>
      <c r="Q277" s="229">
        <v>3050000</v>
      </c>
    </row>
    <row r="278" spans="4:23">
      <c r="I278" s="216" t="s">
        <v>5364</v>
      </c>
      <c r="J278" s="244">
        <f>L278-L277-1680000</f>
        <v>-15903030</v>
      </c>
      <c r="K278" s="216" t="s">
        <v>5362</v>
      </c>
      <c r="L278" s="245">
        <v>1320516794</v>
      </c>
      <c r="M278" s="245">
        <v>834312363</v>
      </c>
      <c r="N278" s="244">
        <f t="shared" si="41"/>
        <v>2154829157</v>
      </c>
      <c r="O278" s="244">
        <f>M278-M277-100000</f>
        <v>-14602793</v>
      </c>
      <c r="P278" s="244">
        <f>N278-N277-1600000</f>
        <v>-30325823</v>
      </c>
      <c r="Q278" s="229">
        <v>1780000</v>
      </c>
      <c r="S278" t="s">
        <v>25</v>
      </c>
    </row>
    <row r="279" spans="4:23">
      <c r="I279" s="216" t="s">
        <v>5366</v>
      </c>
      <c r="J279" s="244">
        <f>L279-L278-30000000</f>
        <v>3387493</v>
      </c>
      <c r="K279" s="216" t="s">
        <v>5365</v>
      </c>
      <c r="L279" s="245">
        <v>1353904287</v>
      </c>
      <c r="M279" s="245">
        <v>836074409</v>
      </c>
      <c r="N279" s="244">
        <f t="shared" si="41"/>
        <v>2189978696</v>
      </c>
      <c r="O279" s="244">
        <f t="shared" si="42"/>
        <v>1762046</v>
      </c>
      <c r="P279" s="244">
        <f>N279-N278-30000000</f>
        <v>5149539</v>
      </c>
      <c r="Q279" s="229">
        <v>30000000</v>
      </c>
      <c r="S279" t="s">
        <v>25</v>
      </c>
    </row>
    <row r="280" spans="4:23">
      <c r="I280" s="213"/>
      <c r="J280" s="113">
        <f t="shared" si="40"/>
        <v>21498999</v>
      </c>
      <c r="K280" s="213" t="s">
        <v>995</v>
      </c>
      <c r="L280" s="84">
        <v>1375403286</v>
      </c>
      <c r="M280" s="84">
        <v>844014315</v>
      </c>
      <c r="N280" s="220">
        <f t="shared" si="41"/>
        <v>2219417601</v>
      </c>
      <c r="O280" s="113">
        <f t="shared" si="42"/>
        <v>7939906</v>
      </c>
      <c r="P280" s="113">
        <f t="shared" si="43"/>
        <v>29438905</v>
      </c>
      <c r="Q280" s="229">
        <v>0</v>
      </c>
    </row>
    <row r="281" spans="4:23">
      <c r="G281" s="74" t="s">
        <v>25</v>
      </c>
      <c r="I281" s="213"/>
      <c r="J281" s="113">
        <f t="shared" si="40"/>
        <v>4332272</v>
      </c>
      <c r="K281" s="213" t="s">
        <v>5372</v>
      </c>
      <c r="L281" s="84">
        <v>1379735558</v>
      </c>
      <c r="M281" s="84">
        <v>848557580</v>
      </c>
      <c r="N281" s="220">
        <f t="shared" si="41"/>
        <v>2228293138</v>
      </c>
      <c r="O281" s="113">
        <f t="shared" si="42"/>
        <v>4543265</v>
      </c>
      <c r="P281" s="113">
        <f t="shared" si="43"/>
        <v>8875537</v>
      </c>
      <c r="Q281" s="229">
        <v>0</v>
      </c>
    </row>
    <row r="282" spans="4:23">
      <c r="I282" s="213"/>
      <c r="J282" s="113">
        <f t="shared" ref="J282:J368" si="44">L282-L281</f>
        <v>29783485</v>
      </c>
      <c r="K282" s="213" t="s">
        <v>5373</v>
      </c>
      <c r="L282" s="84">
        <v>1409519043</v>
      </c>
      <c r="M282" s="84">
        <v>865379346</v>
      </c>
      <c r="N282" s="220">
        <f t="shared" ref="N282:N309" si="45">L282+M282</f>
        <v>2274898389</v>
      </c>
      <c r="O282" s="113">
        <f t="shared" ref="O282:O309" si="46">M282-M281</f>
        <v>16821766</v>
      </c>
      <c r="P282" s="113">
        <f t="shared" ref="P282:P309" si="47">N282-N281</f>
        <v>46605251</v>
      </c>
      <c r="Q282" s="229">
        <v>0</v>
      </c>
    </row>
    <row r="283" spans="4:23">
      <c r="I283" s="213"/>
      <c r="J283" s="113">
        <f t="shared" si="44"/>
        <v>46239300</v>
      </c>
      <c r="K283" s="213" t="s">
        <v>5376</v>
      </c>
      <c r="L283" s="84">
        <v>1455758343</v>
      </c>
      <c r="M283" s="84">
        <v>892393185</v>
      </c>
      <c r="N283" s="220">
        <f t="shared" si="45"/>
        <v>2348151528</v>
      </c>
      <c r="O283" s="113">
        <f t="shared" si="46"/>
        <v>27013839</v>
      </c>
      <c r="P283" s="113">
        <f t="shared" si="47"/>
        <v>73253139</v>
      </c>
      <c r="Q283" s="229">
        <v>0</v>
      </c>
      <c r="W283" t="s">
        <v>25</v>
      </c>
    </row>
    <row r="284" spans="4:23">
      <c r="I284" s="213"/>
      <c r="J284" s="113">
        <f t="shared" si="44"/>
        <v>17681036</v>
      </c>
      <c r="K284" s="213" t="s">
        <v>5379</v>
      </c>
      <c r="L284" s="84">
        <v>1473439379</v>
      </c>
      <c r="M284" s="84">
        <v>906774030</v>
      </c>
      <c r="N284" s="220">
        <f t="shared" si="45"/>
        <v>2380213409</v>
      </c>
      <c r="O284" s="113">
        <f t="shared" si="46"/>
        <v>14380845</v>
      </c>
      <c r="P284" s="113">
        <f t="shared" si="47"/>
        <v>32061881</v>
      </c>
      <c r="Q284" s="229">
        <v>0</v>
      </c>
    </row>
    <row r="285" spans="4:23">
      <c r="I285" s="189" t="s">
        <v>5382</v>
      </c>
      <c r="J285" s="188">
        <f t="shared" si="44"/>
        <v>4331396</v>
      </c>
      <c r="K285" s="189" t="s">
        <v>5380</v>
      </c>
      <c r="L285" s="237">
        <v>1477770775</v>
      </c>
      <c r="M285" s="237">
        <v>915475851</v>
      </c>
      <c r="N285" s="220">
        <f t="shared" si="45"/>
        <v>2393246626</v>
      </c>
      <c r="O285" s="188">
        <f>M285-M284+550000</f>
        <v>9251821</v>
      </c>
      <c r="P285" s="188">
        <f>N285-N284+550000</f>
        <v>13583217</v>
      </c>
      <c r="Q285" s="229">
        <v>-550000</v>
      </c>
    </row>
    <row r="286" spans="4:23">
      <c r="I286" s="189" t="s">
        <v>5387</v>
      </c>
      <c r="J286" s="188">
        <f t="shared" si="44"/>
        <v>39081054</v>
      </c>
      <c r="K286" s="189" t="s">
        <v>5385</v>
      </c>
      <c r="L286" s="237">
        <v>1516851829</v>
      </c>
      <c r="M286" s="237">
        <v>905126712</v>
      </c>
      <c r="N286" s="220">
        <f t="shared" si="45"/>
        <v>2421978541</v>
      </c>
      <c r="O286" s="188">
        <f>M286-M285+29686490</f>
        <v>19337351</v>
      </c>
      <c r="P286" s="188">
        <f>N286-N285+29686490</f>
        <v>58418405</v>
      </c>
      <c r="Q286" s="229">
        <v>-29686490</v>
      </c>
    </row>
    <row r="287" spans="4:23">
      <c r="I287" s="213"/>
      <c r="J287" s="113">
        <f t="shared" si="44"/>
        <v>43584276</v>
      </c>
      <c r="K287" s="213" t="s">
        <v>5386</v>
      </c>
      <c r="L287" s="84">
        <v>1560436105</v>
      </c>
      <c r="M287" s="84">
        <v>940791901</v>
      </c>
      <c r="N287" s="220">
        <f t="shared" si="45"/>
        <v>2501228006</v>
      </c>
      <c r="O287" s="113">
        <f t="shared" si="46"/>
        <v>35665189</v>
      </c>
      <c r="P287" s="113">
        <f t="shared" si="47"/>
        <v>79249465</v>
      </c>
      <c r="Q287" s="229">
        <v>0</v>
      </c>
    </row>
    <row r="288" spans="4:23">
      <c r="I288" s="189" t="s">
        <v>5398</v>
      </c>
      <c r="J288" s="188">
        <f t="shared" si="44"/>
        <v>83455296</v>
      </c>
      <c r="K288" s="189" t="s">
        <v>5397</v>
      </c>
      <c r="L288" s="237">
        <v>1643891401</v>
      </c>
      <c r="M288" s="237">
        <v>982283411</v>
      </c>
      <c r="N288" s="220">
        <f t="shared" si="45"/>
        <v>2626174812</v>
      </c>
      <c r="O288" s="188">
        <f>M288-M287+9000000</f>
        <v>50491510</v>
      </c>
      <c r="P288" s="188">
        <f>N288-N287+9000000</f>
        <v>133946806</v>
      </c>
      <c r="Q288" s="229">
        <v>-9000000</v>
      </c>
      <c r="V288" t="s">
        <v>25</v>
      </c>
    </row>
    <row r="289" spans="9:21">
      <c r="I289" s="213"/>
      <c r="J289" s="113">
        <f t="shared" si="44"/>
        <v>-564040</v>
      </c>
      <c r="K289" s="213" t="s">
        <v>5400</v>
      </c>
      <c r="L289" s="84">
        <v>1643327361</v>
      </c>
      <c r="M289" s="84">
        <v>994154099</v>
      </c>
      <c r="N289" s="220">
        <f t="shared" si="45"/>
        <v>2637481460</v>
      </c>
      <c r="O289" s="113">
        <f t="shared" si="46"/>
        <v>11870688</v>
      </c>
      <c r="P289" s="113">
        <f t="shared" si="47"/>
        <v>11306648</v>
      </c>
      <c r="Q289" s="229">
        <v>0</v>
      </c>
    </row>
    <row r="290" spans="9:21">
      <c r="I290" s="213"/>
      <c r="J290" s="113">
        <f t="shared" si="44"/>
        <v>36636239</v>
      </c>
      <c r="K290" s="213" t="s">
        <v>5405</v>
      </c>
      <c r="L290" s="84">
        <v>1679963600</v>
      </c>
      <c r="M290" s="84">
        <v>1007339950</v>
      </c>
      <c r="N290" s="220">
        <f t="shared" si="45"/>
        <v>2687303550</v>
      </c>
      <c r="O290" s="113">
        <f>M290-M289</f>
        <v>13185851</v>
      </c>
      <c r="P290" s="113">
        <f t="shared" si="47"/>
        <v>49822090</v>
      </c>
      <c r="Q290" s="229">
        <v>0</v>
      </c>
    </row>
    <row r="291" spans="9:21">
      <c r="I291" s="213"/>
      <c r="J291" s="113">
        <f t="shared" si="44"/>
        <v>53600320</v>
      </c>
      <c r="K291" s="213" t="s">
        <v>5411</v>
      </c>
      <c r="L291" s="84">
        <v>1733563920</v>
      </c>
      <c r="M291" s="84">
        <v>1028479912</v>
      </c>
      <c r="N291" s="220">
        <f t="shared" si="45"/>
        <v>2762043832</v>
      </c>
      <c r="O291" s="113">
        <f t="shared" si="46"/>
        <v>21139962</v>
      </c>
      <c r="P291" s="113">
        <f t="shared" si="47"/>
        <v>74740282</v>
      </c>
      <c r="Q291" s="229">
        <v>0</v>
      </c>
    </row>
    <row r="292" spans="9:21">
      <c r="I292" s="213"/>
      <c r="J292" s="113">
        <f t="shared" si="44"/>
        <v>16436080</v>
      </c>
      <c r="K292" s="213" t="s">
        <v>5420</v>
      </c>
      <c r="L292" s="84">
        <v>1750000000</v>
      </c>
      <c r="M292" s="84">
        <v>1035000000</v>
      </c>
      <c r="N292" s="220">
        <f t="shared" si="45"/>
        <v>2785000000</v>
      </c>
      <c r="O292" s="113">
        <f t="shared" si="46"/>
        <v>6520088</v>
      </c>
      <c r="P292" s="113">
        <f t="shared" si="47"/>
        <v>22956168</v>
      </c>
      <c r="Q292" s="229">
        <v>0</v>
      </c>
      <c r="U292" t="s">
        <v>25</v>
      </c>
    </row>
    <row r="293" spans="9:21">
      <c r="I293" s="213"/>
      <c r="J293" s="113">
        <f t="shared" si="44"/>
        <v>10000000</v>
      </c>
      <c r="K293" s="213" t="s">
        <v>5443</v>
      </c>
      <c r="L293" s="84">
        <v>1760000000</v>
      </c>
      <c r="M293" s="84">
        <v>1045000000</v>
      </c>
      <c r="N293" s="220">
        <f t="shared" si="45"/>
        <v>2805000000</v>
      </c>
      <c r="O293" s="113">
        <f t="shared" si="46"/>
        <v>10000000</v>
      </c>
      <c r="P293" s="113">
        <f t="shared" si="47"/>
        <v>20000000</v>
      </c>
      <c r="Q293" s="229">
        <v>0</v>
      </c>
    </row>
    <row r="294" spans="9:21">
      <c r="I294" s="213"/>
      <c r="J294" s="113">
        <f t="shared" si="44"/>
        <v>15456973</v>
      </c>
      <c r="K294" s="213" t="s">
        <v>5442</v>
      </c>
      <c r="L294" s="84">
        <v>1775456973</v>
      </c>
      <c r="M294" s="84">
        <v>1056375788</v>
      </c>
      <c r="N294" s="220">
        <f t="shared" si="45"/>
        <v>2831832761</v>
      </c>
      <c r="O294" s="113">
        <f t="shared" si="46"/>
        <v>11375788</v>
      </c>
      <c r="P294" s="113">
        <f t="shared" si="47"/>
        <v>26832761</v>
      </c>
      <c r="Q294" s="229">
        <v>0</v>
      </c>
    </row>
    <row r="295" spans="9:21">
      <c r="I295" s="213" t="s">
        <v>5452</v>
      </c>
      <c r="J295" s="113">
        <f>L295-L294-3000000</f>
        <v>19422686</v>
      </c>
      <c r="K295" s="213" t="s">
        <v>5446</v>
      </c>
      <c r="L295" s="84">
        <v>1797879659</v>
      </c>
      <c r="M295" s="84">
        <v>1054864328</v>
      </c>
      <c r="N295" s="220">
        <f t="shared" si="45"/>
        <v>2852743987</v>
      </c>
      <c r="O295" s="113">
        <f t="shared" si="46"/>
        <v>-1511460</v>
      </c>
      <c r="P295" s="113">
        <f>N295-N294-3000000</f>
        <v>17911226</v>
      </c>
      <c r="Q295" s="229">
        <v>3000000</v>
      </c>
    </row>
    <row r="296" spans="9:21">
      <c r="I296" s="216" t="s">
        <v>5453</v>
      </c>
      <c r="J296" s="244">
        <f>L296-L295-7000000</f>
        <v>-47124934</v>
      </c>
      <c r="K296" s="216" t="s">
        <v>5447</v>
      </c>
      <c r="L296" s="245">
        <v>1757754725</v>
      </c>
      <c r="M296" s="245">
        <v>1037677810</v>
      </c>
      <c r="N296" s="244">
        <f t="shared" si="45"/>
        <v>2795432535</v>
      </c>
      <c r="O296" s="244">
        <f>M296-M295+4190000</f>
        <v>-12996518</v>
      </c>
      <c r="P296" s="244">
        <f>N296-N295+4190000-7000000</f>
        <v>-60121452</v>
      </c>
      <c r="Q296" s="229">
        <v>2810000</v>
      </c>
    </row>
    <row r="297" spans="9:21">
      <c r="I297" s="216" t="s">
        <v>5462</v>
      </c>
      <c r="J297" s="244">
        <f t="shared" si="44"/>
        <v>-53501669</v>
      </c>
      <c r="K297" s="216" t="s">
        <v>5455</v>
      </c>
      <c r="L297" s="245">
        <v>1704253056</v>
      </c>
      <c r="M297" s="245">
        <v>973497834</v>
      </c>
      <c r="N297" s="244">
        <f t="shared" si="45"/>
        <v>2677750890</v>
      </c>
      <c r="O297" s="244">
        <f>M297-M296+26000000</f>
        <v>-38179976</v>
      </c>
      <c r="P297" s="244">
        <f>N297-N296+26000000</f>
        <v>-91681645</v>
      </c>
      <c r="Q297" s="229">
        <v>-26000000</v>
      </c>
    </row>
    <row r="298" spans="9:21">
      <c r="I298" s="216" t="s">
        <v>5464</v>
      </c>
      <c r="J298" s="244">
        <f>L298-L297-8800000</f>
        <v>26691445</v>
      </c>
      <c r="K298" s="216" t="s">
        <v>5460</v>
      </c>
      <c r="L298" s="245">
        <v>1739744501</v>
      </c>
      <c r="M298" s="245">
        <v>914540569</v>
      </c>
      <c r="N298" s="244">
        <f t="shared" si="45"/>
        <v>2654285070</v>
      </c>
      <c r="O298" s="244">
        <f>M298-M297+81800000</f>
        <v>22842735</v>
      </c>
      <c r="P298" s="244">
        <f>N298-N297+73000000</f>
        <v>49534180</v>
      </c>
      <c r="Q298" s="229">
        <v>-73000000</v>
      </c>
    </row>
    <row r="299" spans="9:21">
      <c r="I299" s="216" t="s">
        <v>5469</v>
      </c>
      <c r="J299" s="244">
        <f t="shared" si="44"/>
        <v>32696702</v>
      </c>
      <c r="K299" s="216" t="s">
        <v>5461</v>
      </c>
      <c r="L299" s="245">
        <v>1772441203</v>
      </c>
      <c r="M299" s="245">
        <v>900025831</v>
      </c>
      <c r="N299" s="244">
        <f t="shared" si="45"/>
        <v>2672467034</v>
      </c>
      <c r="O299" s="244">
        <f>M299-M298+34000000</f>
        <v>19485262</v>
      </c>
      <c r="P299" s="244">
        <f>N299-N298+34000000</f>
        <v>52181964</v>
      </c>
      <c r="Q299" s="229">
        <v>-34000000</v>
      </c>
    </row>
    <row r="300" spans="9:21">
      <c r="I300" s="189" t="s">
        <v>5472</v>
      </c>
      <c r="J300" s="188">
        <f>L300-L299-40000000</f>
        <v>74215198</v>
      </c>
      <c r="K300" s="189" t="s">
        <v>5467</v>
      </c>
      <c r="L300" s="237">
        <v>1886656401</v>
      </c>
      <c r="M300" s="237">
        <v>937495623</v>
      </c>
      <c r="N300" s="220">
        <f t="shared" si="45"/>
        <v>2824152024</v>
      </c>
      <c r="O300" s="188">
        <f t="shared" si="46"/>
        <v>37469792</v>
      </c>
      <c r="P300" s="188">
        <f>N300-N299-40000000</f>
        <v>111684990</v>
      </c>
      <c r="Q300" s="229">
        <v>40000000</v>
      </c>
      <c r="S300" t="s">
        <v>25</v>
      </c>
      <c r="T300" t="s">
        <v>25</v>
      </c>
    </row>
    <row r="301" spans="9:21">
      <c r="I301" s="189" t="s">
        <v>5254</v>
      </c>
      <c r="J301" s="188">
        <f t="shared" si="44"/>
        <v>39912599</v>
      </c>
      <c r="K301" s="189" t="s">
        <v>5468</v>
      </c>
      <c r="L301" s="237">
        <v>1926569000</v>
      </c>
      <c r="M301" s="237">
        <v>959442000</v>
      </c>
      <c r="N301" s="220">
        <f t="shared" si="45"/>
        <v>2886011000</v>
      </c>
      <c r="O301" s="188">
        <f>M301-M300-300000</f>
        <v>21646377</v>
      </c>
      <c r="P301" s="188">
        <f>N301-N300-300000</f>
        <v>61558976</v>
      </c>
      <c r="Q301" s="229">
        <v>300000</v>
      </c>
    </row>
    <row r="302" spans="9:21">
      <c r="I302" s="189" t="s">
        <v>5479</v>
      </c>
      <c r="J302" s="188">
        <f t="shared" si="44"/>
        <v>-55865388</v>
      </c>
      <c r="K302" s="189" t="s">
        <v>5478</v>
      </c>
      <c r="L302" s="237">
        <v>1870703612</v>
      </c>
      <c r="M302" s="237">
        <v>925667252</v>
      </c>
      <c r="N302" s="188">
        <f t="shared" si="45"/>
        <v>2796370864</v>
      </c>
      <c r="O302" s="188">
        <f>M302-M301-1000000</f>
        <v>-34774748</v>
      </c>
      <c r="P302" s="188">
        <f>N302-N301-1000000</f>
        <v>-90640136</v>
      </c>
      <c r="Q302" s="229">
        <v>1000000</v>
      </c>
    </row>
    <row r="303" spans="9:21">
      <c r="I303" s="213"/>
      <c r="J303" s="113">
        <f t="shared" si="44"/>
        <v>-97273791</v>
      </c>
      <c r="K303" s="213" t="s">
        <v>5481</v>
      </c>
      <c r="L303" s="84">
        <v>1773429821</v>
      </c>
      <c r="M303" s="84">
        <v>878782830</v>
      </c>
      <c r="N303" s="113">
        <f t="shared" si="45"/>
        <v>2652212651</v>
      </c>
      <c r="O303" s="113">
        <f t="shared" si="46"/>
        <v>-46884422</v>
      </c>
      <c r="P303" s="113">
        <f t="shared" si="47"/>
        <v>-144158213</v>
      </c>
      <c r="Q303" s="229">
        <v>0</v>
      </c>
    </row>
    <row r="304" spans="9:21">
      <c r="I304" s="213" t="s">
        <v>25</v>
      </c>
      <c r="J304" s="113">
        <f t="shared" si="44"/>
        <v>-429821</v>
      </c>
      <c r="K304" s="213" t="s">
        <v>5483</v>
      </c>
      <c r="L304" s="84">
        <v>1773000000</v>
      </c>
      <c r="M304" s="84">
        <v>879000000</v>
      </c>
      <c r="N304" s="113">
        <f t="shared" si="45"/>
        <v>2652000000</v>
      </c>
      <c r="O304" s="113">
        <f t="shared" si="46"/>
        <v>217170</v>
      </c>
      <c r="P304" s="113">
        <f t="shared" si="47"/>
        <v>-212651</v>
      </c>
      <c r="Q304" s="229">
        <v>0</v>
      </c>
    </row>
    <row r="305" spans="9:17">
      <c r="I305" s="213" t="s">
        <v>5485</v>
      </c>
      <c r="J305" s="113">
        <f>L305-L304-400000</f>
        <v>-400000</v>
      </c>
      <c r="K305" s="213" t="s">
        <v>5484</v>
      </c>
      <c r="L305" s="84">
        <v>1773000000</v>
      </c>
      <c r="M305" s="84">
        <v>879000000</v>
      </c>
      <c r="N305" s="113">
        <f t="shared" si="45"/>
        <v>2652000000</v>
      </c>
      <c r="O305" s="113">
        <f>M305-M304-400000</f>
        <v>-400000</v>
      </c>
      <c r="P305" s="113">
        <f>N305-N304-800000</f>
        <v>-800000</v>
      </c>
      <c r="Q305" s="229">
        <v>800000</v>
      </c>
    </row>
    <row r="306" spans="9:17">
      <c r="I306" s="213"/>
      <c r="J306" s="113">
        <f t="shared" si="44"/>
        <v>-186924808</v>
      </c>
      <c r="K306" s="213" t="s">
        <v>5494</v>
      </c>
      <c r="L306" s="84">
        <v>1586075192</v>
      </c>
      <c r="M306" s="84">
        <v>781102872</v>
      </c>
      <c r="N306" s="113">
        <f t="shared" si="45"/>
        <v>2367178064</v>
      </c>
      <c r="O306" s="113">
        <f t="shared" si="46"/>
        <v>-97897128</v>
      </c>
      <c r="P306" s="113">
        <f t="shared" si="47"/>
        <v>-284821936</v>
      </c>
      <c r="Q306" s="229">
        <v>0</v>
      </c>
    </row>
    <row r="307" spans="9:17">
      <c r="I307" s="213"/>
      <c r="J307" s="113">
        <f t="shared" si="44"/>
        <v>41531186</v>
      </c>
      <c r="K307" s="213" t="s">
        <v>5507</v>
      </c>
      <c r="L307" s="84">
        <v>1627606378</v>
      </c>
      <c r="M307" s="84">
        <v>802901457</v>
      </c>
      <c r="N307" s="113">
        <f t="shared" si="45"/>
        <v>2430507835</v>
      </c>
      <c r="O307" s="113">
        <f t="shared" si="46"/>
        <v>21798585</v>
      </c>
      <c r="P307" s="113">
        <f t="shared" si="47"/>
        <v>63329771</v>
      </c>
      <c r="Q307" s="229">
        <v>0</v>
      </c>
    </row>
    <row r="308" spans="9:17">
      <c r="I308" s="213" t="s">
        <v>5510</v>
      </c>
      <c r="J308" s="113">
        <f>L308-L307+968000</f>
        <v>30858637</v>
      </c>
      <c r="K308" s="213" t="s">
        <v>5509</v>
      </c>
      <c r="L308" s="84">
        <v>1657497015</v>
      </c>
      <c r="M308" s="84">
        <v>821645954</v>
      </c>
      <c r="N308" s="113">
        <f t="shared" si="45"/>
        <v>2479142969</v>
      </c>
      <c r="O308" s="113">
        <f t="shared" si="46"/>
        <v>18744497</v>
      </c>
      <c r="P308" s="113">
        <f>N308-N307+968000</f>
        <v>49603134</v>
      </c>
      <c r="Q308" s="229">
        <v>-968000</v>
      </c>
    </row>
    <row r="309" spans="9:17">
      <c r="I309" s="213"/>
      <c r="J309" s="113">
        <f t="shared" si="44"/>
        <v>48059361</v>
      </c>
      <c r="K309" s="213" t="s">
        <v>5512</v>
      </c>
      <c r="L309" s="84">
        <v>1705556376</v>
      </c>
      <c r="M309" s="84">
        <v>850233025</v>
      </c>
      <c r="N309" s="113">
        <f t="shared" si="45"/>
        <v>2555789401</v>
      </c>
      <c r="O309" s="113">
        <f t="shared" si="46"/>
        <v>28587071</v>
      </c>
      <c r="P309" s="113">
        <f t="shared" si="47"/>
        <v>76646432</v>
      </c>
      <c r="Q309" s="229">
        <v>0</v>
      </c>
    </row>
    <row r="310" spans="9:17">
      <c r="I310" s="213"/>
      <c r="J310" s="113">
        <f t="shared" si="44"/>
        <v>59443624</v>
      </c>
      <c r="K310" s="213" t="s">
        <v>5515</v>
      </c>
      <c r="L310" s="84">
        <v>1765000000</v>
      </c>
      <c r="M310" s="84">
        <v>874000000</v>
      </c>
      <c r="N310" s="113">
        <f t="shared" ref="N310:N329" si="48">L310+M310</f>
        <v>2639000000</v>
      </c>
      <c r="O310" s="113">
        <f t="shared" ref="O310:O329" si="49">M310-M309</f>
        <v>23766975</v>
      </c>
      <c r="P310" s="113">
        <f t="shared" ref="P310:P329" si="50">N310-N309</f>
        <v>83210599</v>
      </c>
      <c r="Q310" s="229">
        <v>0</v>
      </c>
    </row>
    <row r="311" spans="9:17">
      <c r="I311" s="213"/>
      <c r="J311" s="113">
        <f t="shared" si="44"/>
        <v>5000000</v>
      </c>
      <c r="K311" s="213" t="s">
        <v>5517</v>
      </c>
      <c r="L311" s="84">
        <v>1770000000</v>
      </c>
      <c r="M311" s="84">
        <v>883000000</v>
      </c>
      <c r="N311" s="113">
        <f t="shared" si="48"/>
        <v>2653000000</v>
      </c>
      <c r="O311" s="113">
        <f t="shared" si="49"/>
        <v>9000000</v>
      </c>
      <c r="P311" s="113">
        <f t="shared" si="50"/>
        <v>14000000</v>
      </c>
      <c r="Q311" s="229">
        <v>0</v>
      </c>
    </row>
    <row r="312" spans="9:17">
      <c r="I312" s="213"/>
      <c r="J312" s="113">
        <f t="shared" si="44"/>
        <v>-23705382</v>
      </c>
      <c r="K312" s="213" t="s">
        <v>5518</v>
      </c>
      <c r="L312" s="84">
        <v>1746294618</v>
      </c>
      <c r="M312" s="84">
        <v>870404179</v>
      </c>
      <c r="N312" s="113">
        <f t="shared" si="48"/>
        <v>2616698797</v>
      </c>
      <c r="O312" s="113">
        <f t="shared" si="49"/>
        <v>-12595821</v>
      </c>
      <c r="P312" s="113">
        <f t="shared" si="50"/>
        <v>-36301203</v>
      </c>
      <c r="Q312" s="229">
        <v>0</v>
      </c>
    </row>
    <row r="313" spans="9:17">
      <c r="I313" s="213"/>
      <c r="J313" s="113">
        <f t="shared" si="44"/>
        <v>52843587</v>
      </c>
      <c r="K313" s="213" t="s">
        <v>5520</v>
      </c>
      <c r="L313" s="84">
        <v>1799138205</v>
      </c>
      <c r="M313" s="84">
        <v>895075872</v>
      </c>
      <c r="N313" s="113">
        <f t="shared" si="48"/>
        <v>2694214077</v>
      </c>
      <c r="O313" s="113">
        <f t="shared" si="49"/>
        <v>24671693</v>
      </c>
      <c r="P313" s="113">
        <f t="shared" si="50"/>
        <v>77515280</v>
      </c>
      <c r="Q313" s="229">
        <v>0</v>
      </c>
    </row>
    <row r="314" spans="9:17">
      <c r="I314" s="213"/>
      <c r="J314" s="113">
        <f t="shared" si="44"/>
        <v>61989536</v>
      </c>
      <c r="K314" s="213" t="s">
        <v>5523</v>
      </c>
      <c r="L314" s="84">
        <v>1861127741</v>
      </c>
      <c r="M314" s="84">
        <v>925114188</v>
      </c>
      <c r="N314" s="113">
        <f t="shared" si="48"/>
        <v>2786241929</v>
      </c>
      <c r="O314" s="113">
        <f t="shared" si="49"/>
        <v>30038316</v>
      </c>
      <c r="P314" s="113">
        <f t="shared" si="50"/>
        <v>92027852</v>
      </c>
      <c r="Q314" s="229">
        <v>0</v>
      </c>
    </row>
    <row r="315" spans="9:17">
      <c r="I315" s="213"/>
      <c r="J315" s="113">
        <f t="shared" si="44"/>
        <v>187816102</v>
      </c>
      <c r="K315" s="213" t="s">
        <v>5525</v>
      </c>
      <c r="L315" s="84">
        <v>2048943843</v>
      </c>
      <c r="M315" s="84">
        <v>1018477929</v>
      </c>
      <c r="N315" s="220">
        <f t="shared" si="48"/>
        <v>3067421772</v>
      </c>
      <c r="O315" s="113">
        <f t="shared" si="49"/>
        <v>93363741</v>
      </c>
      <c r="P315" s="113">
        <f t="shared" si="50"/>
        <v>281179843</v>
      </c>
      <c r="Q315" s="229">
        <v>0</v>
      </c>
    </row>
    <row r="316" spans="9:17">
      <c r="I316" s="213"/>
      <c r="J316" s="113">
        <f t="shared" si="44"/>
        <v>90607204</v>
      </c>
      <c r="K316" s="213" t="s">
        <v>5527</v>
      </c>
      <c r="L316" s="84">
        <v>2139551047</v>
      </c>
      <c r="M316" s="84">
        <v>1063366113</v>
      </c>
      <c r="N316" s="220">
        <f t="shared" si="48"/>
        <v>3202917160</v>
      </c>
      <c r="O316" s="113">
        <f t="shared" si="49"/>
        <v>44888184</v>
      </c>
      <c r="P316" s="113">
        <f t="shared" si="50"/>
        <v>135495388</v>
      </c>
      <c r="Q316" s="229">
        <v>0</v>
      </c>
    </row>
    <row r="317" spans="9:17">
      <c r="I317" s="213"/>
      <c r="J317" s="113">
        <f t="shared" si="44"/>
        <v>-20242572</v>
      </c>
      <c r="K317" s="213" t="s">
        <v>5529</v>
      </c>
      <c r="L317" s="84">
        <v>2119308475</v>
      </c>
      <c r="M317" s="84">
        <v>1053047454</v>
      </c>
      <c r="N317" s="113">
        <f t="shared" si="48"/>
        <v>3172355929</v>
      </c>
      <c r="O317" s="113">
        <f t="shared" si="49"/>
        <v>-10318659</v>
      </c>
      <c r="P317" s="113">
        <f t="shared" si="50"/>
        <v>-30561231</v>
      </c>
      <c r="Q317" s="229">
        <v>0</v>
      </c>
    </row>
    <row r="318" spans="9:17">
      <c r="I318" s="213"/>
      <c r="J318" s="113">
        <f t="shared" si="44"/>
        <v>141276059</v>
      </c>
      <c r="K318" s="213" t="s">
        <v>5530</v>
      </c>
      <c r="L318" s="84">
        <v>2260584534</v>
      </c>
      <c r="M318" s="84">
        <v>1120314374</v>
      </c>
      <c r="N318" s="220">
        <f t="shared" si="48"/>
        <v>3380898908</v>
      </c>
      <c r="O318" s="113">
        <f t="shared" si="49"/>
        <v>67266920</v>
      </c>
      <c r="P318" s="113">
        <f t="shared" si="50"/>
        <v>208542979</v>
      </c>
      <c r="Q318" s="229">
        <v>0</v>
      </c>
    </row>
    <row r="319" spans="9:17">
      <c r="I319" s="213" t="s">
        <v>5536</v>
      </c>
      <c r="J319" s="113">
        <f>L319-L318-3006000</f>
        <v>32865631</v>
      </c>
      <c r="K319" s="213" t="s">
        <v>5534</v>
      </c>
      <c r="L319" s="84">
        <v>2296456165</v>
      </c>
      <c r="M319" s="84">
        <v>1139689638</v>
      </c>
      <c r="N319" s="220">
        <f t="shared" si="48"/>
        <v>3436145803</v>
      </c>
      <c r="O319" s="113">
        <f>M319-M318-3000000</f>
        <v>16375264</v>
      </c>
      <c r="P319" s="113">
        <f>N319-N318-6006000</f>
        <v>49240895</v>
      </c>
      <c r="Q319" s="229">
        <v>6006000</v>
      </c>
    </row>
    <row r="320" spans="9:17">
      <c r="I320" s="213"/>
      <c r="J320" s="113">
        <f t="shared" si="44"/>
        <v>106300248</v>
      </c>
      <c r="K320" s="213" t="s">
        <v>5543</v>
      </c>
      <c r="L320" s="84">
        <v>2402756413</v>
      </c>
      <c r="M320" s="84">
        <v>1193225866</v>
      </c>
      <c r="N320" s="220">
        <f t="shared" si="48"/>
        <v>3595982279</v>
      </c>
      <c r="O320" s="113">
        <f t="shared" si="49"/>
        <v>53536228</v>
      </c>
      <c r="P320" s="113">
        <f t="shared" si="50"/>
        <v>159836476</v>
      </c>
      <c r="Q320" s="229">
        <v>0</v>
      </c>
    </row>
    <row r="321" spans="9:22">
      <c r="I321" s="213"/>
      <c r="J321" s="113">
        <f t="shared" si="44"/>
        <v>26044736</v>
      </c>
      <c r="K321" s="213" t="s">
        <v>5548</v>
      </c>
      <c r="L321" s="84">
        <v>2428801149</v>
      </c>
      <c r="M321" s="84">
        <v>1206365805</v>
      </c>
      <c r="N321" s="220">
        <f t="shared" si="48"/>
        <v>3635166954</v>
      </c>
      <c r="O321" s="113">
        <f t="shared" si="49"/>
        <v>13139939</v>
      </c>
      <c r="P321" s="113">
        <f t="shared" si="50"/>
        <v>39184675</v>
      </c>
      <c r="Q321" s="229">
        <v>0</v>
      </c>
    </row>
    <row r="322" spans="9:22">
      <c r="I322" s="213"/>
      <c r="J322" s="113">
        <f t="shared" si="44"/>
        <v>171198851</v>
      </c>
      <c r="K322" s="213" t="s">
        <v>5553</v>
      </c>
      <c r="L322" s="84">
        <v>2600000000</v>
      </c>
      <c r="M322" s="84">
        <v>1292000000</v>
      </c>
      <c r="N322" s="220">
        <f t="shared" si="48"/>
        <v>3892000000</v>
      </c>
      <c r="O322" s="113">
        <f t="shared" si="49"/>
        <v>85634195</v>
      </c>
      <c r="P322" s="113">
        <f t="shared" si="50"/>
        <v>256833046</v>
      </c>
      <c r="Q322" s="229">
        <v>0</v>
      </c>
    </row>
    <row r="323" spans="9:22">
      <c r="I323" s="213"/>
      <c r="J323" s="113">
        <f t="shared" si="44"/>
        <v>84150663</v>
      </c>
      <c r="K323" s="213" t="s">
        <v>5557</v>
      </c>
      <c r="L323" s="84">
        <v>2684150663</v>
      </c>
      <c r="M323" s="84">
        <v>1332846782</v>
      </c>
      <c r="N323" s="220">
        <f t="shared" si="48"/>
        <v>4016997445</v>
      </c>
      <c r="O323" s="113">
        <f t="shared" si="49"/>
        <v>40846782</v>
      </c>
      <c r="P323" s="113">
        <f t="shared" si="50"/>
        <v>124997445</v>
      </c>
      <c r="Q323" s="229">
        <v>0</v>
      </c>
    </row>
    <row r="324" spans="9:22">
      <c r="I324" s="213"/>
      <c r="J324" s="113">
        <f t="shared" si="44"/>
        <v>82028611</v>
      </c>
      <c r="K324" s="213" t="s">
        <v>5559</v>
      </c>
      <c r="L324" s="84">
        <v>2766179274</v>
      </c>
      <c r="M324" s="84">
        <v>1375672179</v>
      </c>
      <c r="N324" s="220">
        <f t="shared" si="48"/>
        <v>4141851453</v>
      </c>
      <c r="O324" s="113">
        <f t="shared" si="49"/>
        <v>42825397</v>
      </c>
      <c r="P324" s="113">
        <f t="shared" si="50"/>
        <v>124854008</v>
      </c>
      <c r="Q324" s="229">
        <v>0</v>
      </c>
      <c r="V324" t="s">
        <v>25</v>
      </c>
    </row>
    <row r="325" spans="9:22">
      <c r="I325" s="213"/>
      <c r="J325" s="113">
        <f t="shared" si="44"/>
        <v>27803935</v>
      </c>
      <c r="K325" s="213" t="s">
        <v>5567</v>
      </c>
      <c r="L325" s="84">
        <v>2793983209</v>
      </c>
      <c r="M325" s="84">
        <v>1388455108</v>
      </c>
      <c r="N325" s="220">
        <f t="shared" si="48"/>
        <v>4182438317</v>
      </c>
      <c r="O325" s="113">
        <f t="shared" si="49"/>
        <v>12782929</v>
      </c>
      <c r="P325" s="113">
        <f t="shared" si="50"/>
        <v>40586864</v>
      </c>
      <c r="Q325" s="229">
        <v>0</v>
      </c>
    </row>
    <row r="326" spans="9:22">
      <c r="I326" s="213"/>
      <c r="J326" s="113">
        <f t="shared" si="44"/>
        <v>25995929</v>
      </c>
      <c r="K326" s="213" t="s">
        <v>5569</v>
      </c>
      <c r="L326" s="84">
        <v>2819979138</v>
      </c>
      <c r="M326" s="84">
        <v>1401539279</v>
      </c>
      <c r="N326" s="220">
        <f t="shared" si="48"/>
        <v>4221518417</v>
      </c>
      <c r="O326" s="113">
        <f t="shared" si="49"/>
        <v>13084171</v>
      </c>
      <c r="P326" s="113">
        <f t="shared" si="50"/>
        <v>39080100</v>
      </c>
      <c r="Q326" s="229">
        <v>0</v>
      </c>
    </row>
    <row r="327" spans="9:22">
      <c r="I327" s="213" t="s">
        <v>5577</v>
      </c>
      <c r="J327" s="113">
        <f>L327-L326+130382924</f>
        <v>36685298</v>
      </c>
      <c r="K327" s="213" t="s">
        <v>5576</v>
      </c>
      <c r="L327" s="84">
        <v>2726281512</v>
      </c>
      <c r="M327" s="84">
        <v>1352767212</v>
      </c>
      <c r="N327" s="220">
        <f t="shared" si="48"/>
        <v>4079048724</v>
      </c>
      <c r="O327" s="113">
        <f>M327-M326+65461942</f>
        <v>16689875</v>
      </c>
      <c r="P327" s="113">
        <f>N327-N326+195844866</f>
        <v>53375173</v>
      </c>
      <c r="Q327" s="229">
        <v>-195844866</v>
      </c>
    </row>
    <row r="328" spans="9:22">
      <c r="I328" s="213"/>
      <c r="J328" s="113">
        <f t="shared" si="44"/>
        <v>423693862</v>
      </c>
      <c r="K328" s="213" t="s">
        <v>5571</v>
      </c>
      <c r="L328" s="84">
        <v>3149975374</v>
      </c>
      <c r="M328" s="84">
        <v>1567387310</v>
      </c>
      <c r="N328" s="220">
        <f t="shared" si="48"/>
        <v>4717362684</v>
      </c>
      <c r="O328" s="113">
        <f t="shared" si="49"/>
        <v>214620098</v>
      </c>
      <c r="P328" s="113">
        <f t="shared" si="50"/>
        <v>638313960</v>
      </c>
      <c r="Q328" s="229">
        <v>0</v>
      </c>
    </row>
    <row r="329" spans="9:22">
      <c r="I329" s="213"/>
      <c r="J329" s="113">
        <f t="shared" si="44"/>
        <v>138024626</v>
      </c>
      <c r="K329" s="213" t="s">
        <v>5581</v>
      </c>
      <c r="L329" s="84">
        <v>3288000000</v>
      </c>
      <c r="M329" s="84">
        <v>1636000000</v>
      </c>
      <c r="N329" s="220">
        <f t="shared" si="48"/>
        <v>4924000000</v>
      </c>
      <c r="O329" s="113">
        <f t="shared" si="49"/>
        <v>68612690</v>
      </c>
      <c r="P329" s="113">
        <f t="shared" si="50"/>
        <v>206637316</v>
      </c>
      <c r="Q329" s="229">
        <v>0</v>
      </c>
    </row>
    <row r="330" spans="9:22">
      <c r="I330" s="213"/>
      <c r="J330" s="113">
        <f t="shared" si="44"/>
        <v>139431734</v>
      </c>
      <c r="K330" s="213" t="s">
        <v>5583</v>
      </c>
      <c r="L330" s="84">
        <v>3427431734</v>
      </c>
      <c r="M330" s="84">
        <v>1705312175</v>
      </c>
      <c r="N330" s="220">
        <f t="shared" ref="N330:N368" si="51">L330+M330</f>
        <v>5132743909</v>
      </c>
      <c r="O330" s="113">
        <f t="shared" ref="O330:O368" si="52">M330-M329</f>
        <v>69312175</v>
      </c>
      <c r="P330" s="113">
        <f t="shared" ref="P330:P368" si="53">N330-N329</f>
        <v>208743909</v>
      </c>
      <c r="Q330" s="229">
        <v>0</v>
      </c>
    </row>
    <row r="331" spans="9:22">
      <c r="I331" s="213"/>
      <c r="J331" s="113">
        <f t="shared" si="44"/>
        <v>171263819</v>
      </c>
      <c r="K331" s="213" t="s">
        <v>993</v>
      </c>
      <c r="L331" s="84">
        <v>3598695553</v>
      </c>
      <c r="M331" s="84">
        <v>1790521534</v>
      </c>
      <c r="N331" s="220">
        <f t="shared" si="51"/>
        <v>5389217087</v>
      </c>
      <c r="O331" s="113">
        <f t="shared" si="52"/>
        <v>85209359</v>
      </c>
      <c r="P331" s="113">
        <f t="shared" si="53"/>
        <v>256473178</v>
      </c>
      <c r="Q331" s="229">
        <v>0</v>
      </c>
    </row>
    <row r="332" spans="9:22">
      <c r="I332" s="189" t="s">
        <v>5592</v>
      </c>
      <c r="J332" s="188">
        <f>L332-L331-125000000</f>
        <v>154015802</v>
      </c>
      <c r="K332" s="189" t="s">
        <v>5408</v>
      </c>
      <c r="L332" s="237">
        <v>3877711355</v>
      </c>
      <c r="M332" s="237">
        <v>1868422520</v>
      </c>
      <c r="N332" s="35">
        <f t="shared" si="51"/>
        <v>5746133875</v>
      </c>
      <c r="O332" s="188">
        <f t="shared" si="52"/>
        <v>77900986</v>
      </c>
      <c r="P332" s="188">
        <f>N332-N331-125000000</f>
        <v>231916788</v>
      </c>
      <c r="Q332" s="229">
        <v>125000000</v>
      </c>
    </row>
    <row r="333" spans="9:22">
      <c r="I333" s="189" t="s">
        <v>5595</v>
      </c>
      <c r="J333" s="188">
        <f>L333-L332-7200000</f>
        <v>-108573535</v>
      </c>
      <c r="K333" s="189" t="s">
        <v>5584</v>
      </c>
      <c r="L333" s="237">
        <v>3776337820</v>
      </c>
      <c r="M333" s="237">
        <v>1839777065</v>
      </c>
      <c r="N333" s="188">
        <f t="shared" si="51"/>
        <v>5616114885</v>
      </c>
      <c r="O333" s="188">
        <f>M333-M332-35000000</f>
        <v>-63645455</v>
      </c>
      <c r="P333" s="188">
        <f>N333-N332-42200000</f>
        <v>-172218990</v>
      </c>
      <c r="Q333" s="229">
        <v>42200000</v>
      </c>
    </row>
    <row r="334" spans="9:22">
      <c r="I334" s="213"/>
      <c r="J334" s="113">
        <f t="shared" si="44"/>
        <v>-3776337820</v>
      </c>
      <c r="K334" s="213" t="s">
        <v>5603</v>
      </c>
      <c r="L334" s="84"/>
      <c r="M334" s="84"/>
      <c r="N334" s="113">
        <f t="shared" si="51"/>
        <v>0</v>
      </c>
      <c r="O334" s="113">
        <f t="shared" si="52"/>
        <v>-1839777065</v>
      </c>
      <c r="P334" s="113">
        <f t="shared" si="53"/>
        <v>-5616114885</v>
      </c>
    </row>
    <row r="335" spans="9:22">
      <c r="I335" s="213"/>
      <c r="J335" s="113">
        <f t="shared" si="44"/>
        <v>0</v>
      </c>
      <c r="K335" s="213"/>
      <c r="L335" s="84"/>
      <c r="M335" s="84"/>
      <c r="N335" s="113">
        <f t="shared" si="51"/>
        <v>0</v>
      </c>
      <c r="O335" s="113">
        <f t="shared" si="52"/>
        <v>0</v>
      </c>
      <c r="P335" s="113">
        <f t="shared" si="53"/>
        <v>0</v>
      </c>
    </row>
    <row r="336" spans="9:22">
      <c r="I336" s="213"/>
      <c r="J336" s="113">
        <f t="shared" si="44"/>
        <v>0</v>
      </c>
      <c r="K336" s="213"/>
      <c r="L336" s="84"/>
      <c r="M336" s="84"/>
      <c r="N336" s="113">
        <f t="shared" si="51"/>
        <v>0</v>
      </c>
      <c r="O336" s="113">
        <f t="shared" si="52"/>
        <v>0</v>
      </c>
      <c r="P336" s="113">
        <f t="shared" si="53"/>
        <v>0</v>
      </c>
    </row>
    <row r="337" spans="9:19">
      <c r="I337" s="213"/>
      <c r="J337" s="113">
        <f t="shared" si="44"/>
        <v>0</v>
      </c>
      <c r="K337" s="213"/>
      <c r="L337" s="84"/>
      <c r="M337" s="84"/>
      <c r="N337" s="113">
        <f t="shared" si="51"/>
        <v>0</v>
      </c>
      <c r="O337" s="113">
        <f t="shared" si="52"/>
        <v>0</v>
      </c>
      <c r="P337" s="113">
        <f t="shared" si="53"/>
        <v>0</v>
      </c>
    </row>
    <row r="338" spans="9:19">
      <c r="I338" s="213"/>
      <c r="J338" s="113">
        <f t="shared" si="44"/>
        <v>0</v>
      </c>
      <c r="K338" s="213"/>
      <c r="L338" s="84"/>
      <c r="M338" s="84"/>
      <c r="N338" s="113">
        <f t="shared" si="51"/>
        <v>0</v>
      </c>
      <c r="O338" s="113">
        <f t="shared" si="52"/>
        <v>0</v>
      </c>
      <c r="P338" s="113">
        <f t="shared" si="53"/>
        <v>0</v>
      </c>
    </row>
    <row r="339" spans="9:19">
      <c r="I339" s="213"/>
      <c r="J339" s="113">
        <f t="shared" si="44"/>
        <v>0</v>
      </c>
      <c r="K339" s="213"/>
      <c r="L339" s="84"/>
      <c r="M339" s="84"/>
      <c r="N339" s="113">
        <f t="shared" si="51"/>
        <v>0</v>
      </c>
      <c r="O339" s="113">
        <f t="shared" si="52"/>
        <v>0</v>
      </c>
      <c r="P339" s="113">
        <f t="shared" si="53"/>
        <v>0</v>
      </c>
    </row>
    <row r="340" spans="9:19">
      <c r="I340" s="213"/>
      <c r="J340" s="113">
        <f t="shared" si="44"/>
        <v>0</v>
      </c>
      <c r="K340" s="213"/>
      <c r="L340" s="84"/>
      <c r="M340" s="84"/>
      <c r="N340" s="113">
        <f t="shared" si="51"/>
        <v>0</v>
      </c>
      <c r="O340" s="113">
        <f t="shared" si="52"/>
        <v>0</v>
      </c>
      <c r="P340" s="113">
        <f t="shared" si="53"/>
        <v>0</v>
      </c>
    </row>
    <row r="341" spans="9:19">
      <c r="I341" s="213"/>
      <c r="J341" s="113">
        <f t="shared" si="44"/>
        <v>0</v>
      </c>
      <c r="K341" s="213"/>
      <c r="L341" s="84"/>
      <c r="M341" s="84"/>
      <c r="N341" s="113">
        <f t="shared" si="51"/>
        <v>0</v>
      </c>
      <c r="O341" s="113">
        <f t="shared" si="52"/>
        <v>0</v>
      </c>
      <c r="P341" s="113">
        <f t="shared" si="53"/>
        <v>0</v>
      </c>
    </row>
    <row r="342" spans="9:19">
      <c r="I342" s="213"/>
      <c r="J342" s="113">
        <f t="shared" si="44"/>
        <v>0</v>
      </c>
      <c r="K342" s="213"/>
      <c r="L342" s="84"/>
      <c r="M342" s="84"/>
      <c r="N342" s="113">
        <f t="shared" si="51"/>
        <v>0</v>
      </c>
      <c r="O342" s="113">
        <f t="shared" si="52"/>
        <v>0</v>
      </c>
      <c r="P342" s="113">
        <f t="shared" si="53"/>
        <v>0</v>
      </c>
      <c r="S342" t="s">
        <v>25</v>
      </c>
    </row>
    <row r="343" spans="9:19">
      <c r="I343" s="213"/>
      <c r="J343" s="113">
        <f t="shared" si="44"/>
        <v>0</v>
      </c>
      <c r="K343" s="213"/>
      <c r="L343" s="84"/>
      <c r="M343" s="84"/>
      <c r="N343" s="113">
        <f t="shared" si="51"/>
        <v>0</v>
      </c>
      <c r="O343" s="113">
        <f t="shared" si="52"/>
        <v>0</v>
      </c>
      <c r="P343" s="113">
        <f t="shared" si="53"/>
        <v>0</v>
      </c>
    </row>
    <row r="344" spans="9:19">
      <c r="I344" s="213"/>
      <c r="J344" s="113">
        <f t="shared" si="44"/>
        <v>0</v>
      </c>
      <c r="K344" s="213"/>
      <c r="L344" s="84"/>
      <c r="M344" s="84"/>
      <c r="N344" s="113">
        <f t="shared" si="51"/>
        <v>0</v>
      </c>
      <c r="O344" s="113">
        <f t="shared" si="52"/>
        <v>0</v>
      </c>
      <c r="P344" s="113">
        <f t="shared" si="53"/>
        <v>0</v>
      </c>
    </row>
    <row r="345" spans="9:19">
      <c r="I345" s="213"/>
      <c r="J345" s="113">
        <f t="shared" si="44"/>
        <v>0</v>
      </c>
      <c r="K345" s="213"/>
      <c r="L345" s="84"/>
      <c r="M345" s="84"/>
      <c r="N345" s="113">
        <f t="shared" si="51"/>
        <v>0</v>
      </c>
      <c r="O345" s="113">
        <f t="shared" si="52"/>
        <v>0</v>
      </c>
      <c r="P345" s="113">
        <f t="shared" si="53"/>
        <v>0</v>
      </c>
    </row>
    <row r="346" spans="9:19">
      <c r="I346" s="213"/>
      <c r="J346" s="113">
        <f t="shared" si="44"/>
        <v>0</v>
      </c>
      <c r="K346" s="213"/>
      <c r="L346" s="84"/>
      <c r="M346" s="84"/>
      <c r="N346" s="113">
        <f t="shared" si="51"/>
        <v>0</v>
      </c>
      <c r="O346" s="113">
        <f t="shared" si="52"/>
        <v>0</v>
      </c>
      <c r="P346" s="113">
        <f t="shared" si="53"/>
        <v>0</v>
      </c>
    </row>
    <row r="347" spans="9:19">
      <c r="I347" s="213"/>
      <c r="J347" s="113">
        <f t="shared" si="44"/>
        <v>0</v>
      </c>
      <c r="K347" s="213"/>
      <c r="L347" s="84"/>
      <c r="M347" s="84"/>
      <c r="N347" s="113">
        <f t="shared" si="51"/>
        <v>0</v>
      </c>
      <c r="O347" s="113">
        <f t="shared" si="52"/>
        <v>0</v>
      </c>
      <c r="P347" s="113">
        <f t="shared" si="53"/>
        <v>0</v>
      </c>
    </row>
    <row r="348" spans="9:19">
      <c r="I348" s="213"/>
      <c r="J348" s="113" t="e">
        <f t="shared" si="44"/>
        <v>#VALUE!</v>
      </c>
      <c r="K348" s="213"/>
      <c r="L348" s="84" t="s">
        <v>25</v>
      </c>
      <c r="M348" s="84"/>
      <c r="N348" s="113" t="e">
        <f t="shared" si="51"/>
        <v>#VALUE!</v>
      </c>
      <c r="O348" s="113">
        <f t="shared" si="52"/>
        <v>0</v>
      </c>
      <c r="P348" s="113" t="e">
        <f t="shared" si="53"/>
        <v>#VALUE!</v>
      </c>
    </row>
    <row r="349" spans="9:19">
      <c r="I349" s="213"/>
      <c r="J349" s="113" t="e">
        <f t="shared" si="44"/>
        <v>#VALUE!</v>
      </c>
      <c r="K349" s="213"/>
      <c r="L349" s="84"/>
      <c r="M349" s="84"/>
      <c r="N349" s="113">
        <f t="shared" si="51"/>
        <v>0</v>
      </c>
      <c r="O349" s="113">
        <f t="shared" si="52"/>
        <v>0</v>
      </c>
      <c r="P349" s="113" t="e">
        <f t="shared" si="53"/>
        <v>#VALUE!</v>
      </c>
    </row>
    <row r="350" spans="9:19">
      <c r="I350" s="213"/>
      <c r="J350" s="113">
        <f t="shared" si="44"/>
        <v>0</v>
      </c>
      <c r="K350" s="213"/>
      <c r="L350" s="84"/>
      <c r="M350" s="84"/>
      <c r="N350" s="113">
        <f t="shared" si="51"/>
        <v>0</v>
      </c>
      <c r="O350" s="113">
        <f t="shared" si="52"/>
        <v>0</v>
      </c>
      <c r="P350" s="113">
        <f t="shared" si="53"/>
        <v>0</v>
      </c>
    </row>
    <row r="351" spans="9:19">
      <c r="I351" s="213"/>
      <c r="J351" s="113">
        <f t="shared" si="44"/>
        <v>0</v>
      </c>
      <c r="K351" s="213"/>
      <c r="L351" s="84"/>
      <c r="M351" s="84"/>
      <c r="N351" s="113">
        <f t="shared" si="51"/>
        <v>0</v>
      </c>
      <c r="O351" s="113">
        <f t="shared" si="52"/>
        <v>0</v>
      </c>
      <c r="P351" s="113">
        <f t="shared" si="53"/>
        <v>0</v>
      </c>
    </row>
    <row r="352" spans="9:19">
      <c r="I352" s="213"/>
      <c r="J352" s="113">
        <f t="shared" si="44"/>
        <v>0</v>
      </c>
      <c r="K352" s="213"/>
      <c r="L352" s="84"/>
      <c r="M352" s="84"/>
      <c r="N352" s="113">
        <f t="shared" si="51"/>
        <v>0</v>
      </c>
      <c r="O352" s="113">
        <f t="shared" si="52"/>
        <v>0</v>
      </c>
      <c r="P352" s="113">
        <f t="shared" si="53"/>
        <v>0</v>
      </c>
    </row>
    <row r="353" spans="9:16">
      <c r="I353" s="213"/>
      <c r="J353" s="113">
        <f t="shared" si="44"/>
        <v>0</v>
      </c>
      <c r="K353" s="213"/>
      <c r="L353" s="84"/>
      <c r="M353" s="84"/>
      <c r="N353" s="113">
        <f t="shared" si="51"/>
        <v>0</v>
      </c>
      <c r="O353" s="113">
        <f t="shared" si="52"/>
        <v>0</v>
      </c>
      <c r="P353" s="113">
        <f t="shared" si="53"/>
        <v>0</v>
      </c>
    </row>
    <row r="354" spans="9:16">
      <c r="I354" s="213"/>
      <c r="J354" s="113">
        <f t="shared" si="44"/>
        <v>0</v>
      </c>
      <c r="K354" s="213"/>
      <c r="L354" s="84"/>
      <c r="M354" s="84"/>
      <c r="N354" s="113">
        <f t="shared" si="51"/>
        <v>0</v>
      </c>
      <c r="O354" s="113">
        <f t="shared" si="52"/>
        <v>0</v>
      </c>
      <c r="P354" s="113">
        <f t="shared" si="53"/>
        <v>0</v>
      </c>
    </row>
    <row r="355" spans="9:16">
      <c r="I355" s="213"/>
      <c r="J355" s="113">
        <f t="shared" si="44"/>
        <v>0</v>
      </c>
      <c r="K355" s="213"/>
      <c r="L355" s="84"/>
      <c r="M355" s="84"/>
      <c r="N355" s="113">
        <f t="shared" si="51"/>
        <v>0</v>
      </c>
      <c r="O355" s="113">
        <f t="shared" si="52"/>
        <v>0</v>
      </c>
      <c r="P355" s="113">
        <f t="shared" si="53"/>
        <v>0</v>
      </c>
    </row>
    <row r="356" spans="9:16">
      <c r="I356" s="213"/>
      <c r="J356" s="113">
        <f t="shared" si="44"/>
        <v>0</v>
      </c>
      <c r="K356" s="213"/>
      <c r="L356" s="84"/>
      <c r="M356" s="84"/>
      <c r="N356" s="113">
        <f t="shared" si="51"/>
        <v>0</v>
      </c>
      <c r="O356" s="113">
        <f t="shared" si="52"/>
        <v>0</v>
      </c>
      <c r="P356" s="113">
        <f t="shared" si="53"/>
        <v>0</v>
      </c>
    </row>
    <row r="357" spans="9:16">
      <c r="I357" s="213"/>
      <c r="J357" s="113">
        <f t="shared" si="44"/>
        <v>0</v>
      </c>
      <c r="K357" s="213"/>
      <c r="L357" s="84"/>
      <c r="M357" s="84"/>
      <c r="N357" s="113">
        <f t="shared" si="51"/>
        <v>0</v>
      </c>
      <c r="O357" s="113">
        <f t="shared" si="52"/>
        <v>0</v>
      </c>
      <c r="P357" s="113">
        <f t="shared" si="53"/>
        <v>0</v>
      </c>
    </row>
    <row r="358" spans="9:16">
      <c r="I358" s="213"/>
      <c r="J358" s="113">
        <f t="shared" si="44"/>
        <v>0</v>
      </c>
      <c r="K358" s="213"/>
      <c r="L358" s="84"/>
      <c r="M358" s="84"/>
      <c r="N358" s="113">
        <f t="shared" si="51"/>
        <v>0</v>
      </c>
      <c r="O358" s="113">
        <f t="shared" si="52"/>
        <v>0</v>
      </c>
      <c r="P358" s="113">
        <f t="shared" si="53"/>
        <v>0</v>
      </c>
    </row>
    <row r="359" spans="9:16">
      <c r="I359" s="213"/>
      <c r="J359" s="113">
        <f t="shared" si="44"/>
        <v>0</v>
      </c>
      <c r="K359" s="213"/>
      <c r="L359" s="84"/>
      <c r="M359" s="84"/>
      <c r="N359" s="113">
        <f t="shared" si="51"/>
        <v>0</v>
      </c>
      <c r="O359" s="113">
        <f t="shared" si="52"/>
        <v>0</v>
      </c>
      <c r="P359" s="113">
        <f t="shared" si="53"/>
        <v>0</v>
      </c>
    </row>
    <row r="360" spans="9:16">
      <c r="I360" s="213"/>
      <c r="J360" s="113">
        <f t="shared" si="44"/>
        <v>0</v>
      </c>
      <c r="K360" s="213"/>
      <c r="L360" s="84"/>
      <c r="M360" s="84"/>
      <c r="N360" s="113">
        <f t="shared" si="51"/>
        <v>0</v>
      </c>
      <c r="O360" s="113">
        <f t="shared" si="52"/>
        <v>0</v>
      </c>
      <c r="P360" s="113">
        <f t="shared" si="53"/>
        <v>0</v>
      </c>
    </row>
    <row r="361" spans="9:16">
      <c r="I361" s="213"/>
      <c r="J361" s="113">
        <f t="shared" si="44"/>
        <v>0</v>
      </c>
      <c r="K361" s="213"/>
      <c r="L361" s="84"/>
      <c r="M361" s="84"/>
      <c r="N361" s="113">
        <f t="shared" si="51"/>
        <v>0</v>
      </c>
      <c r="O361" s="113">
        <f t="shared" si="52"/>
        <v>0</v>
      </c>
      <c r="P361" s="113">
        <f t="shared" si="53"/>
        <v>0</v>
      </c>
    </row>
    <row r="362" spans="9:16">
      <c r="I362" s="213"/>
      <c r="J362" s="113">
        <f t="shared" si="44"/>
        <v>0</v>
      </c>
      <c r="K362" s="213"/>
      <c r="L362" s="84"/>
      <c r="M362" s="84"/>
      <c r="N362" s="113">
        <f t="shared" si="51"/>
        <v>0</v>
      </c>
      <c r="O362" s="113">
        <f t="shared" si="52"/>
        <v>0</v>
      </c>
      <c r="P362" s="113">
        <f t="shared" si="53"/>
        <v>0</v>
      </c>
    </row>
    <row r="363" spans="9:16">
      <c r="I363" s="213"/>
      <c r="J363" s="113">
        <f t="shared" si="44"/>
        <v>0</v>
      </c>
      <c r="K363" s="213"/>
      <c r="L363" s="84"/>
      <c r="M363" s="84"/>
      <c r="N363" s="113">
        <f t="shared" si="51"/>
        <v>0</v>
      </c>
      <c r="O363" s="113">
        <f t="shared" si="52"/>
        <v>0</v>
      </c>
      <c r="P363" s="113">
        <f t="shared" si="53"/>
        <v>0</v>
      </c>
    </row>
    <row r="364" spans="9:16">
      <c r="I364" s="213"/>
      <c r="J364" s="113">
        <f t="shared" si="44"/>
        <v>0</v>
      </c>
      <c r="K364" s="213"/>
      <c r="L364" s="84"/>
      <c r="M364" s="84"/>
      <c r="N364" s="113">
        <f t="shared" si="51"/>
        <v>0</v>
      </c>
      <c r="O364" s="113">
        <f t="shared" si="52"/>
        <v>0</v>
      </c>
      <c r="P364" s="113">
        <f t="shared" si="53"/>
        <v>0</v>
      </c>
    </row>
    <row r="365" spans="9:16">
      <c r="I365" s="213"/>
      <c r="J365" s="113">
        <f t="shared" si="44"/>
        <v>0</v>
      </c>
      <c r="K365" s="213"/>
      <c r="L365" s="84"/>
      <c r="M365" s="84"/>
      <c r="N365" s="113">
        <f t="shared" si="51"/>
        <v>0</v>
      </c>
      <c r="O365" s="113">
        <f t="shared" si="52"/>
        <v>0</v>
      </c>
      <c r="P365" s="113">
        <f t="shared" si="53"/>
        <v>0</v>
      </c>
    </row>
    <row r="366" spans="9:16">
      <c r="I366" s="213"/>
      <c r="J366" s="113">
        <f t="shared" si="44"/>
        <v>0</v>
      </c>
      <c r="K366" s="213"/>
      <c r="L366" s="84"/>
      <c r="M366" s="84"/>
      <c r="N366" s="113">
        <f t="shared" si="51"/>
        <v>0</v>
      </c>
      <c r="O366" s="113">
        <f t="shared" si="52"/>
        <v>0</v>
      </c>
      <c r="P366" s="113">
        <f t="shared" si="53"/>
        <v>0</v>
      </c>
    </row>
    <row r="367" spans="9:16">
      <c r="I367" s="213"/>
      <c r="J367" s="113">
        <f t="shared" si="44"/>
        <v>0</v>
      </c>
      <c r="K367" s="213">
        <v>0</v>
      </c>
      <c r="L367" s="84">
        <v>0</v>
      </c>
      <c r="M367" s="84">
        <v>0</v>
      </c>
      <c r="N367" s="113">
        <f t="shared" si="51"/>
        <v>0</v>
      </c>
      <c r="O367" s="113">
        <f t="shared" si="52"/>
        <v>0</v>
      </c>
      <c r="P367" s="113">
        <f t="shared" si="53"/>
        <v>0</v>
      </c>
    </row>
    <row r="368" spans="9:16">
      <c r="I368" s="213"/>
      <c r="J368" s="113">
        <f t="shared" si="44"/>
        <v>0</v>
      </c>
      <c r="K368" s="213">
        <v>0</v>
      </c>
      <c r="L368" s="84">
        <v>0</v>
      </c>
      <c r="M368" s="84">
        <v>0</v>
      </c>
      <c r="N368" s="113">
        <f t="shared" si="51"/>
        <v>0</v>
      </c>
      <c r="O368" s="113">
        <f t="shared" si="52"/>
        <v>0</v>
      </c>
      <c r="P368" s="113">
        <f t="shared" si="53"/>
        <v>0</v>
      </c>
    </row>
    <row r="369" spans="9:16">
      <c r="I369" s="213"/>
      <c r="J369" s="113">
        <f t="shared" si="32"/>
        <v>0</v>
      </c>
      <c r="K369" s="213"/>
      <c r="L369" s="84"/>
      <c r="M369" s="84"/>
      <c r="N369" s="113">
        <f t="shared" si="33"/>
        <v>0</v>
      </c>
      <c r="O369" s="113">
        <f t="shared" si="34"/>
        <v>0</v>
      </c>
      <c r="P369" s="113">
        <f t="shared" si="35"/>
        <v>0</v>
      </c>
    </row>
    <row r="372" spans="9:16">
      <c r="N372" t="s">
        <v>25</v>
      </c>
      <c r="O372" t="s">
        <v>25</v>
      </c>
    </row>
    <row r="373" spans="9:16">
      <c r="L373" t="s">
        <v>25</v>
      </c>
      <c r="N373" t="s">
        <v>25</v>
      </c>
      <c r="O373" t="s">
        <v>25</v>
      </c>
      <c r="P373" t="s">
        <v>25</v>
      </c>
    </row>
    <row r="374" spans="9:16">
      <c r="P374" t="s">
        <v>25</v>
      </c>
    </row>
    <row r="375" spans="9:16">
      <c r="M375" t="s">
        <v>25</v>
      </c>
      <c r="N375" t="s">
        <v>25</v>
      </c>
      <c r="O375" t="s">
        <v>25</v>
      </c>
    </row>
    <row r="376" spans="9:16">
      <c r="N376" t="s">
        <v>25</v>
      </c>
      <c r="O376" t="s">
        <v>25</v>
      </c>
    </row>
    <row r="378" spans="9:16">
      <c r="M378" t="s">
        <v>25</v>
      </c>
      <c r="N37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5417</v>
      </c>
      <c r="B1">
        <v>0.24</v>
      </c>
    </row>
    <row r="4" spans="1:21">
      <c r="A4" s="99" t="s">
        <v>3637</v>
      </c>
      <c r="B4" s="99" t="s">
        <v>180</v>
      </c>
      <c r="C4" s="99" t="s">
        <v>5421</v>
      </c>
      <c r="D4" s="99" t="s">
        <v>5422</v>
      </c>
      <c r="E4" s="99" t="s">
        <v>5429</v>
      </c>
      <c r="F4" s="99" t="s">
        <v>5423</v>
      </c>
      <c r="G4" s="99" t="s">
        <v>5424</v>
      </c>
      <c r="H4" s="99" t="s">
        <v>5425</v>
      </c>
      <c r="I4" s="99" t="s">
        <v>5426</v>
      </c>
      <c r="J4" s="99" t="s">
        <v>5427</v>
      </c>
      <c r="K4" s="99" t="s">
        <v>5428</v>
      </c>
      <c r="L4" s="99" t="s">
        <v>5416</v>
      </c>
      <c r="M4" s="99" t="s">
        <v>5418</v>
      </c>
      <c r="N4" s="99" t="s">
        <v>5419</v>
      </c>
      <c r="O4" s="99"/>
    </row>
    <row r="5" spans="1:21">
      <c r="A5" s="99">
        <v>0</v>
      </c>
      <c r="B5" s="99" t="s">
        <v>5415</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5420</v>
      </c>
      <c r="C6" s="113">
        <f>C5*(1+$B$1/365)</f>
        <v>1441547243.8356164</v>
      </c>
      <c r="D6" s="113">
        <f t="shared" ref="D6:E6" si="0">D5*(1+$B$1/365)</f>
        <v>808531287.67123282</v>
      </c>
      <c r="E6" s="113">
        <f t="shared" si="0"/>
        <v>2250078531.5068493</v>
      </c>
      <c r="F6" s="113"/>
      <c r="G6" s="113"/>
      <c r="H6" s="113"/>
      <c r="I6" s="113"/>
      <c r="J6" s="113"/>
      <c r="K6" s="113"/>
      <c r="L6" s="113">
        <f t="shared" ref="L6:L45" si="1">L5*(1+$B$1/365)</f>
        <v>2763816109.5890412</v>
      </c>
      <c r="M6" s="95">
        <v>2785000000</v>
      </c>
      <c r="N6" s="95">
        <f t="shared" ref="N6:N9" si="2">M6-L6</f>
        <v>21183890.410958767</v>
      </c>
      <c r="O6" s="99"/>
    </row>
    <row r="7" spans="1:21">
      <c r="A7" s="99">
        <v>2</v>
      </c>
      <c r="B7" s="99" t="s">
        <v>5443</v>
      </c>
      <c r="C7" s="113">
        <f t="shared" ref="C7:C45" si="3">C6*(1+$B$1/365)</f>
        <v>1442495110.5164945</v>
      </c>
      <c r="D7" s="113">
        <f t="shared" ref="D7:D45" si="4">D6*(1+$B$1/365)</f>
        <v>809062924.68230426</v>
      </c>
      <c r="E7" s="113">
        <f t="shared" ref="E7:E45" si="5">E6*(1+$B$1/365)</f>
        <v>2251558035.1987991</v>
      </c>
      <c r="F7" s="113"/>
      <c r="G7" s="113"/>
      <c r="H7" s="113"/>
      <c r="I7" s="113"/>
      <c r="J7" s="113"/>
      <c r="K7" s="113"/>
      <c r="L7" s="113">
        <f t="shared" si="1"/>
        <v>2765633413.3323326</v>
      </c>
      <c r="M7" s="95">
        <v>2805000000</v>
      </c>
      <c r="N7" s="95">
        <f t="shared" si="2"/>
        <v>39366586.667667389</v>
      </c>
      <c r="O7" s="99"/>
    </row>
    <row r="8" spans="1:21">
      <c r="A8" s="99">
        <v>3</v>
      </c>
      <c r="B8" s="99" t="s">
        <v>5442</v>
      </c>
      <c r="C8" s="113">
        <f t="shared" si="3"/>
        <v>1443443600.4521766</v>
      </c>
      <c r="D8" s="113">
        <f t="shared" si="4"/>
        <v>809594911.26291728</v>
      </c>
      <c r="E8" s="113">
        <f t="shared" si="5"/>
        <v>2253038511.7150941</v>
      </c>
      <c r="F8" s="113"/>
      <c r="G8" s="113"/>
      <c r="H8" s="113"/>
      <c r="I8" s="113"/>
      <c r="J8" s="113"/>
      <c r="K8" s="113"/>
      <c r="L8" s="113">
        <f t="shared" si="1"/>
        <v>2767451912.0150719</v>
      </c>
      <c r="M8" s="95">
        <v>2831832761</v>
      </c>
      <c r="N8" s="95">
        <f t="shared" si="2"/>
        <v>64380848.984928131</v>
      </c>
      <c r="O8" s="99"/>
    </row>
    <row r="9" spans="1:21">
      <c r="A9" s="99">
        <v>4</v>
      </c>
      <c r="B9" s="99" t="s">
        <v>5446</v>
      </c>
      <c r="C9" s="113">
        <f t="shared" si="3"/>
        <v>1444392714.0524738</v>
      </c>
      <c r="D9" s="113">
        <f t="shared" si="4"/>
        <v>810127247.64292574</v>
      </c>
      <c r="E9" s="113">
        <f t="shared" si="5"/>
        <v>2254519961.6953998</v>
      </c>
      <c r="F9" s="113"/>
      <c r="G9" s="113"/>
      <c r="H9" s="113"/>
      <c r="I9" s="113"/>
      <c r="J9" s="113"/>
      <c r="K9" s="113"/>
      <c r="L9" s="113">
        <f t="shared" si="1"/>
        <v>2769271606.4229722</v>
      </c>
      <c r="M9" s="95">
        <v>2852743987</v>
      </c>
      <c r="N9" s="95">
        <f t="shared" si="2"/>
        <v>83472380.577027798</v>
      </c>
      <c r="O9" s="99"/>
    </row>
    <row r="10" spans="1:21">
      <c r="A10" s="99">
        <v>5</v>
      </c>
      <c r="B10" s="99"/>
      <c r="C10" s="113">
        <f t="shared" si="3"/>
        <v>1445342451.7274671</v>
      </c>
      <c r="D10" s="113">
        <f t="shared" si="4"/>
        <v>810659934.05233479</v>
      </c>
      <c r="E10" s="113">
        <f t="shared" si="5"/>
        <v>2256002385.7798023</v>
      </c>
      <c r="F10" s="113"/>
      <c r="G10" s="113"/>
      <c r="H10" s="113"/>
      <c r="I10" s="113"/>
      <c r="J10" s="113"/>
      <c r="K10" s="113"/>
      <c r="L10" s="113">
        <f t="shared" si="1"/>
        <v>2771092497.3422642</v>
      </c>
      <c r="M10" s="113"/>
      <c r="N10" s="113"/>
      <c r="O10" s="99"/>
    </row>
    <row r="11" spans="1:21">
      <c r="A11" s="99">
        <v>6</v>
      </c>
      <c r="B11" s="99"/>
      <c r="C11" s="113">
        <f t="shared" si="3"/>
        <v>1446292813.887507</v>
      </c>
      <c r="D11" s="113">
        <f t="shared" si="4"/>
        <v>811192970.72130072</v>
      </c>
      <c r="E11" s="113">
        <f t="shared" si="5"/>
        <v>2257485784.608808</v>
      </c>
      <c r="F11" s="113"/>
      <c r="G11" s="113"/>
      <c r="H11" s="113"/>
      <c r="I11" s="113"/>
      <c r="J11" s="113"/>
      <c r="K11" s="113"/>
      <c r="L11" s="113">
        <f t="shared" si="1"/>
        <v>2772914585.5596948</v>
      </c>
      <c r="M11" s="113"/>
      <c r="N11" s="113"/>
      <c r="O11" s="99"/>
    </row>
    <row r="12" spans="1:21">
      <c r="A12" s="99">
        <v>7</v>
      </c>
      <c r="B12" s="99"/>
      <c r="C12" s="113">
        <f t="shared" si="3"/>
        <v>1447243800.9432137</v>
      </c>
      <c r="D12" s="113">
        <f t="shared" si="4"/>
        <v>811726357.88013113</v>
      </c>
      <c r="E12" s="113">
        <f t="shared" si="5"/>
        <v>2258970158.8233452</v>
      </c>
      <c r="F12" s="113"/>
      <c r="G12" s="113"/>
      <c r="H12" s="113"/>
      <c r="I12" s="113"/>
      <c r="J12" s="113"/>
      <c r="K12" s="113"/>
      <c r="L12" s="113">
        <f t="shared" si="1"/>
        <v>2774737871.8625283</v>
      </c>
      <c r="M12" s="113"/>
      <c r="N12" s="113"/>
      <c r="O12" s="99"/>
      <c r="U12" t="s">
        <v>25</v>
      </c>
    </row>
    <row r="13" spans="1:21">
      <c r="A13" s="99">
        <v>8</v>
      </c>
      <c r="B13" s="99"/>
      <c r="C13" s="113">
        <f t="shared" si="3"/>
        <v>1448195413.3054776</v>
      </c>
      <c r="D13" s="113">
        <f t="shared" si="4"/>
        <v>812260095.75928521</v>
      </c>
      <c r="E13" s="113">
        <f t="shared" si="5"/>
        <v>2260455509.0647631</v>
      </c>
      <c r="F13" s="113"/>
      <c r="G13" s="113"/>
      <c r="H13" s="113"/>
      <c r="I13" s="113"/>
      <c r="J13" s="113"/>
      <c r="K13" s="113"/>
      <c r="L13" s="113">
        <f t="shared" si="1"/>
        <v>2776562357.0385475</v>
      </c>
      <c r="M13" s="113"/>
      <c r="N13" s="113"/>
      <c r="O13" s="99"/>
    </row>
    <row r="14" spans="1:21">
      <c r="A14" s="99">
        <v>9</v>
      </c>
      <c r="B14" s="99"/>
      <c r="C14" s="113">
        <f t="shared" si="3"/>
        <v>1449147651.3854592</v>
      </c>
      <c r="D14" s="113">
        <f t="shared" si="4"/>
        <v>812794184.58937347</v>
      </c>
      <c r="E14" s="113">
        <f t="shared" si="5"/>
        <v>2261941835.974833</v>
      </c>
      <c r="F14" s="113"/>
      <c r="G14" s="113"/>
      <c r="H14" s="113"/>
      <c r="I14" s="113"/>
      <c r="J14" s="113"/>
      <c r="K14" s="113"/>
      <c r="L14" s="113">
        <f t="shared" si="1"/>
        <v>2778388041.8760524</v>
      </c>
      <c r="M14" s="113"/>
      <c r="N14" s="113"/>
      <c r="O14" s="99"/>
    </row>
    <row r="15" spans="1:21">
      <c r="A15" s="99">
        <v>10</v>
      </c>
      <c r="B15" s="99"/>
      <c r="C15" s="113">
        <f t="shared" si="3"/>
        <v>1450100515.5945892</v>
      </c>
      <c r="D15" s="113">
        <f t="shared" si="4"/>
        <v>813328624.60115826</v>
      </c>
      <c r="E15" s="113">
        <f t="shared" si="5"/>
        <v>2263429140.1957479</v>
      </c>
      <c r="F15" s="113"/>
      <c r="G15" s="113"/>
      <c r="H15" s="113"/>
      <c r="I15" s="113"/>
      <c r="J15" s="113"/>
      <c r="K15" s="113"/>
      <c r="L15" s="113">
        <f t="shared" si="1"/>
        <v>2780214927.1638613</v>
      </c>
      <c r="M15" s="113"/>
      <c r="N15" s="113"/>
      <c r="O15" s="99"/>
    </row>
    <row r="16" spans="1:21">
      <c r="A16" s="99">
        <v>11</v>
      </c>
      <c r="B16" s="99"/>
      <c r="C16" s="113">
        <f t="shared" si="3"/>
        <v>1451054006.3445692</v>
      </c>
      <c r="D16" s="113">
        <f t="shared" si="4"/>
        <v>813863416.02555358</v>
      </c>
      <c r="E16" s="113">
        <f t="shared" si="5"/>
        <v>2264917422.3701229</v>
      </c>
      <c r="F16" s="113"/>
      <c r="G16" s="113"/>
      <c r="H16" s="113"/>
      <c r="I16" s="113"/>
      <c r="J16" s="113"/>
      <c r="K16" s="113"/>
      <c r="L16" s="113">
        <f t="shared" si="1"/>
        <v>2782043013.6913114</v>
      </c>
      <c r="M16" s="113"/>
      <c r="N16" s="113"/>
      <c r="O16" s="99"/>
    </row>
    <row r="17" spans="1:21">
      <c r="A17" s="99">
        <v>12</v>
      </c>
      <c r="B17" s="99"/>
      <c r="C17" s="113">
        <f t="shared" si="3"/>
        <v>1452008124.0473711</v>
      </c>
      <c r="D17" s="113">
        <f t="shared" si="4"/>
        <v>814398559.09362519</v>
      </c>
      <c r="E17" s="113">
        <f t="shared" si="5"/>
        <v>2266406683.1409965</v>
      </c>
      <c r="F17" s="113"/>
      <c r="G17" s="113"/>
      <c r="H17" s="113"/>
      <c r="I17" s="113"/>
      <c r="J17" s="113"/>
      <c r="K17" s="113"/>
      <c r="L17" s="113">
        <f t="shared" si="1"/>
        <v>2783872302.2482591</v>
      </c>
      <c r="M17" s="113"/>
      <c r="N17" s="113"/>
      <c r="O17" s="99"/>
    </row>
    <row r="18" spans="1:21">
      <c r="A18" s="99">
        <v>13</v>
      </c>
      <c r="B18" s="99"/>
      <c r="C18" s="113">
        <f t="shared" si="3"/>
        <v>1452962869.115238</v>
      </c>
      <c r="D18" s="113">
        <f t="shared" si="4"/>
        <v>814934054.03659081</v>
      </c>
      <c r="E18" s="113">
        <f t="shared" si="5"/>
        <v>2267896923.1518288</v>
      </c>
      <c r="F18" s="113"/>
      <c r="G18" s="113"/>
      <c r="H18" s="113"/>
      <c r="I18" s="113"/>
      <c r="J18" s="113"/>
      <c r="K18" s="113"/>
      <c r="L18" s="113">
        <f t="shared" si="1"/>
        <v>2785702793.6250796</v>
      </c>
      <c r="M18" s="113"/>
      <c r="N18" s="113"/>
      <c r="O18" s="99"/>
    </row>
    <row r="19" spans="1:21">
      <c r="A19" s="99">
        <v>14</v>
      </c>
      <c r="B19" s="99"/>
      <c r="C19" s="113">
        <f t="shared" si="3"/>
        <v>1453918241.9606836</v>
      </c>
      <c r="D19" s="113">
        <f t="shared" si="4"/>
        <v>815469901.08582032</v>
      </c>
      <c r="E19" s="113">
        <f t="shared" si="5"/>
        <v>2269388143.046504</v>
      </c>
      <c r="F19" s="113"/>
      <c r="G19" s="113"/>
      <c r="H19" s="113"/>
      <c r="I19" s="113"/>
      <c r="J19" s="113"/>
      <c r="K19" s="113"/>
      <c r="L19" s="113">
        <f t="shared" si="1"/>
        <v>2787534488.6126685</v>
      </c>
      <c r="M19" s="113"/>
      <c r="N19" s="113"/>
      <c r="O19" s="99"/>
    </row>
    <row r="20" spans="1:21">
      <c r="A20" s="99">
        <v>15</v>
      </c>
      <c r="B20" s="99"/>
      <c r="C20" s="113">
        <f t="shared" si="3"/>
        <v>1454874242.9964933</v>
      </c>
      <c r="D20" s="113">
        <f t="shared" si="4"/>
        <v>816006100.47283566</v>
      </c>
      <c r="E20" s="113">
        <f t="shared" si="5"/>
        <v>2270880343.4693289</v>
      </c>
      <c r="F20" s="113"/>
      <c r="G20" s="113"/>
      <c r="H20" s="113"/>
      <c r="I20" s="113"/>
      <c r="J20" s="113"/>
      <c r="K20" s="113"/>
      <c r="L20" s="113">
        <f t="shared" si="1"/>
        <v>2789367388.0024414</v>
      </c>
      <c r="M20" s="113"/>
      <c r="N20" s="113"/>
      <c r="O20" s="99"/>
      <c r="U20" t="s">
        <v>25</v>
      </c>
    </row>
    <row r="21" spans="1:21">
      <c r="A21" s="99">
        <v>16</v>
      </c>
      <c r="B21" s="99"/>
      <c r="C21" s="113">
        <f t="shared" si="3"/>
        <v>1455830872.6357238</v>
      </c>
      <c r="D21" s="113">
        <f t="shared" si="4"/>
        <v>816542652.42931092</v>
      </c>
      <c r="E21" s="113">
        <f t="shared" si="5"/>
        <v>2272373525.0650349</v>
      </c>
      <c r="F21" s="113"/>
      <c r="G21" s="113"/>
      <c r="H21" s="113"/>
      <c r="I21" s="113"/>
      <c r="J21" s="113"/>
      <c r="K21" s="113"/>
      <c r="L21" s="113">
        <f t="shared" si="1"/>
        <v>2791201492.5863333</v>
      </c>
      <c r="M21" s="113"/>
      <c r="N21" s="113"/>
      <c r="O21" s="99"/>
    </row>
    <row r="22" spans="1:21">
      <c r="A22" s="99">
        <v>17</v>
      </c>
      <c r="B22" s="99"/>
      <c r="C22" s="113">
        <f t="shared" si="3"/>
        <v>1456788131.2917035</v>
      </c>
      <c r="D22" s="113">
        <f t="shared" si="4"/>
        <v>817079557.18707263</v>
      </c>
      <c r="E22" s="113">
        <f t="shared" si="5"/>
        <v>2273867688.4787765</v>
      </c>
      <c r="F22" s="113"/>
      <c r="G22" s="113"/>
      <c r="H22" s="113"/>
      <c r="I22" s="113"/>
      <c r="J22" s="113"/>
      <c r="K22" s="113"/>
      <c r="L22" s="113">
        <f t="shared" si="1"/>
        <v>2793036803.1568007</v>
      </c>
      <c r="M22" s="113"/>
      <c r="N22" s="113"/>
      <c r="O22" s="99"/>
    </row>
    <row r="23" spans="1:21">
      <c r="A23" s="99">
        <v>18</v>
      </c>
      <c r="B23" s="99"/>
      <c r="C23" s="113">
        <f t="shared" si="3"/>
        <v>1457746019.3780322</v>
      </c>
      <c r="D23" s="113">
        <f t="shared" si="4"/>
        <v>817616814.9780997</v>
      </c>
      <c r="E23" s="113">
        <f t="shared" si="5"/>
        <v>2275362834.3561325</v>
      </c>
      <c r="F23" s="113"/>
      <c r="G23" s="113"/>
      <c r="H23" s="113"/>
      <c r="I23" s="113"/>
      <c r="J23" s="113"/>
      <c r="K23" s="113"/>
      <c r="L23" s="113">
        <f t="shared" si="1"/>
        <v>2794873320.5068216</v>
      </c>
      <c r="M23" s="113"/>
      <c r="N23" s="113"/>
      <c r="O23" s="99"/>
    </row>
    <row r="24" spans="1:21">
      <c r="A24" s="99">
        <v>19</v>
      </c>
      <c r="B24" s="99"/>
      <c r="C24" s="113">
        <f t="shared" si="3"/>
        <v>1458704537.3085821</v>
      </c>
      <c r="D24" s="113">
        <f t="shared" si="4"/>
        <v>818154426.03452361</v>
      </c>
      <c r="E24" s="113">
        <f t="shared" si="5"/>
        <v>2276858963.3431063</v>
      </c>
      <c r="F24" s="113"/>
      <c r="G24" s="113"/>
      <c r="H24" s="113"/>
      <c r="I24" s="113"/>
      <c r="J24" s="113"/>
      <c r="K24" s="113"/>
      <c r="L24" s="113">
        <f t="shared" si="1"/>
        <v>2796711045.4298944</v>
      </c>
      <c r="M24" s="113"/>
      <c r="N24" s="113"/>
      <c r="O24" s="99"/>
    </row>
    <row r="25" spans="1:21">
      <c r="A25" s="99">
        <v>20</v>
      </c>
      <c r="B25" s="99"/>
      <c r="C25" s="113">
        <f t="shared" si="3"/>
        <v>1459663685.4974973</v>
      </c>
      <c r="D25" s="113">
        <f t="shared" si="4"/>
        <v>818692390.58862853</v>
      </c>
      <c r="E25" s="113">
        <f t="shared" si="5"/>
        <v>2278356076.0861263</v>
      </c>
      <c r="F25" s="113"/>
      <c r="G25" s="113"/>
      <c r="H25" s="113"/>
      <c r="I25" s="113"/>
      <c r="J25" s="113"/>
      <c r="K25" s="113"/>
      <c r="L25" s="113">
        <f t="shared" si="1"/>
        <v>2798549978.7200403</v>
      </c>
      <c r="M25" s="113"/>
      <c r="N25" s="113"/>
      <c r="O25" s="99"/>
    </row>
    <row r="26" spans="1:21">
      <c r="A26" s="99">
        <v>21</v>
      </c>
      <c r="B26" s="99"/>
      <c r="C26" s="113">
        <f t="shared" si="3"/>
        <v>1460623464.3591943</v>
      </c>
      <c r="D26" s="113">
        <f t="shared" si="4"/>
        <v>819230708.87285113</v>
      </c>
      <c r="E26" s="113">
        <f t="shared" si="5"/>
        <v>2279854173.2320461</v>
      </c>
      <c r="F26" s="113"/>
      <c r="G26" s="113"/>
      <c r="H26" s="113"/>
      <c r="I26" s="113"/>
      <c r="J26" s="113"/>
      <c r="K26" s="113"/>
      <c r="L26" s="113">
        <f t="shared" si="1"/>
        <v>2800390121.1718016</v>
      </c>
      <c r="M26" s="113"/>
      <c r="N26" s="113"/>
      <c r="O26" s="99"/>
    </row>
    <row r="27" spans="1:21">
      <c r="A27" s="99">
        <v>22</v>
      </c>
      <c r="B27" s="99"/>
      <c r="C27" s="113">
        <f t="shared" si="3"/>
        <v>1461583874.308362</v>
      </c>
      <c r="D27" s="113">
        <f t="shared" si="4"/>
        <v>819769381.11978126</v>
      </c>
      <c r="E27" s="113">
        <f t="shared" si="5"/>
        <v>2281353255.428144</v>
      </c>
      <c r="F27" s="113"/>
      <c r="G27" s="113"/>
      <c r="H27" s="113"/>
      <c r="I27" s="113"/>
      <c r="J27" s="113"/>
      <c r="K27" s="113"/>
      <c r="L27" s="113">
        <f t="shared" si="1"/>
        <v>2802231473.5802431</v>
      </c>
      <c r="M27" s="113"/>
      <c r="N27" s="113"/>
      <c r="O27" s="99"/>
    </row>
    <row r="28" spans="1:21">
      <c r="A28" s="99">
        <v>23</v>
      </c>
      <c r="B28" s="99"/>
      <c r="C28" s="113">
        <f t="shared" si="3"/>
        <v>1462544915.7599621</v>
      </c>
      <c r="D28" s="113">
        <f t="shared" si="4"/>
        <v>820308407.56216133</v>
      </c>
      <c r="E28" s="113">
        <f t="shared" si="5"/>
        <v>2282853323.322124</v>
      </c>
      <c r="F28" s="113"/>
      <c r="G28" s="113"/>
      <c r="H28" s="113"/>
      <c r="I28" s="113"/>
      <c r="J28" s="113"/>
      <c r="K28" s="113"/>
      <c r="L28" s="113">
        <f t="shared" si="1"/>
        <v>2804074036.7409534</v>
      </c>
      <c r="M28" s="113"/>
      <c r="N28" s="113"/>
      <c r="O28" s="99"/>
    </row>
    <row r="29" spans="1:21">
      <c r="A29" s="99">
        <v>24</v>
      </c>
      <c r="B29" s="99"/>
      <c r="C29" s="113">
        <f t="shared" si="3"/>
        <v>1463506589.1292288</v>
      </c>
      <c r="D29" s="113">
        <f t="shared" si="4"/>
        <v>820847788.43288708</v>
      </c>
      <c r="E29" s="113">
        <f t="shared" si="5"/>
        <v>2284354377.5621166</v>
      </c>
      <c r="F29" s="113"/>
      <c r="G29" s="113"/>
      <c r="H29" s="113"/>
      <c r="I29" s="113"/>
      <c r="J29" s="113"/>
      <c r="K29" s="113"/>
      <c r="L29" s="113">
        <f t="shared" si="1"/>
        <v>2805917811.4500432</v>
      </c>
      <c r="M29" s="113"/>
      <c r="N29" s="113"/>
      <c r="O29" s="99"/>
    </row>
    <row r="30" spans="1:21">
      <c r="A30" s="99">
        <v>25</v>
      </c>
      <c r="B30" s="99"/>
      <c r="C30" s="113">
        <f t="shared" si="3"/>
        <v>1464468894.83167</v>
      </c>
      <c r="D30" s="113">
        <f t="shared" si="4"/>
        <v>821387523.96500731</v>
      </c>
      <c r="E30" s="113">
        <f t="shared" si="5"/>
        <v>2285856418.7966781</v>
      </c>
      <c r="F30" s="113"/>
      <c r="G30" s="113"/>
      <c r="H30" s="113"/>
      <c r="I30" s="113"/>
      <c r="J30" s="113"/>
      <c r="K30" s="113"/>
      <c r="L30" s="113">
        <f t="shared" si="1"/>
        <v>2807762798.5041475</v>
      </c>
      <c r="M30" s="113"/>
      <c r="N30" s="113"/>
      <c r="O30" s="99"/>
    </row>
    <row r="31" spans="1:21">
      <c r="A31" s="99">
        <v>26</v>
      </c>
      <c r="B31" s="99"/>
      <c r="C31" s="113">
        <f t="shared" si="3"/>
        <v>1465431833.2830663</v>
      </c>
      <c r="D31" s="113">
        <f t="shared" si="4"/>
        <v>821927614.39172399</v>
      </c>
      <c r="E31" s="113">
        <f t="shared" si="5"/>
        <v>2287359447.6747909</v>
      </c>
      <c r="F31" s="113"/>
      <c r="G31" s="113"/>
      <c r="H31" s="113"/>
      <c r="I31" s="113"/>
      <c r="J31" s="113"/>
      <c r="K31" s="113"/>
      <c r="L31" s="113">
        <f t="shared" si="1"/>
        <v>2809608998.7004242</v>
      </c>
      <c r="M31" s="113"/>
      <c r="N31" s="113"/>
      <c r="O31" s="99"/>
    </row>
    <row r="32" spans="1:21">
      <c r="A32" s="99">
        <v>27</v>
      </c>
      <c r="B32" s="99"/>
      <c r="C32" s="113">
        <f t="shared" si="3"/>
        <v>1466395404.8994715</v>
      </c>
      <c r="D32" s="113">
        <f t="shared" si="4"/>
        <v>822468059.94639254</v>
      </c>
      <c r="E32" s="113">
        <f t="shared" si="5"/>
        <v>2288863464.8458648</v>
      </c>
      <c r="F32" s="113"/>
      <c r="G32" s="113"/>
      <c r="H32" s="113"/>
      <c r="I32" s="113"/>
      <c r="J32" s="113"/>
      <c r="K32" s="113"/>
      <c r="L32" s="113">
        <f t="shared" si="1"/>
        <v>2811456412.836556</v>
      </c>
      <c r="M32" s="113"/>
      <c r="N32" s="113"/>
      <c r="O32" s="99"/>
    </row>
    <row r="33" spans="1:15">
      <c r="A33" s="99">
        <v>28</v>
      </c>
      <c r="B33" s="99"/>
      <c r="C33" s="113">
        <f t="shared" si="3"/>
        <v>1467359610.0972135</v>
      </c>
      <c r="D33" s="113">
        <f t="shared" si="4"/>
        <v>823008860.86252165</v>
      </c>
      <c r="E33" s="113">
        <f t="shared" si="5"/>
        <v>2290368470.9597359</v>
      </c>
      <c r="F33" s="113"/>
      <c r="G33" s="113"/>
      <c r="H33" s="113"/>
      <c r="I33" s="113"/>
      <c r="J33" s="113"/>
      <c r="K33" s="113"/>
      <c r="L33" s="113">
        <f t="shared" si="1"/>
        <v>2813305041.7107496</v>
      </c>
      <c r="M33" s="113"/>
      <c r="N33" s="113"/>
      <c r="O33" s="99"/>
    </row>
    <row r="34" spans="1:15">
      <c r="A34" s="99">
        <v>29</v>
      </c>
      <c r="B34" s="99"/>
      <c r="C34" s="113">
        <f t="shared" si="3"/>
        <v>1468324449.2928939</v>
      </c>
      <c r="D34" s="113">
        <f t="shared" si="4"/>
        <v>823550017.37377369</v>
      </c>
      <c r="E34" s="113">
        <f t="shared" si="5"/>
        <v>2291874466.6666684</v>
      </c>
      <c r="F34" s="113"/>
      <c r="G34" s="113"/>
      <c r="H34" s="113"/>
      <c r="I34" s="113"/>
      <c r="J34" s="113"/>
      <c r="K34" s="113"/>
      <c r="L34" s="113">
        <f t="shared" si="1"/>
        <v>2815154886.1217375</v>
      </c>
      <c r="M34" s="113"/>
      <c r="N34" s="113"/>
      <c r="O34" s="99"/>
    </row>
    <row r="35" spans="1:15">
      <c r="A35" s="99">
        <v>30</v>
      </c>
      <c r="B35" s="99"/>
      <c r="C35" s="113">
        <f t="shared" si="3"/>
        <v>1469289922.9033878</v>
      </c>
      <c r="D35" s="113">
        <f t="shared" si="4"/>
        <v>824091529.7139647</v>
      </c>
      <c r="E35" s="113">
        <f t="shared" si="5"/>
        <v>2293381452.6173534</v>
      </c>
      <c r="F35" s="113"/>
      <c r="G35" s="113"/>
      <c r="H35" s="113"/>
      <c r="I35" s="113"/>
      <c r="J35" s="113"/>
      <c r="K35" s="113"/>
      <c r="L35" s="113">
        <f t="shared" si="1"/>
        <v>2817005946.8687763</v>
      </c>
      <c r="M35" s="113"/>
      <c r="N35" s="113"/>
      <c r="O35" s="99"/>
    </row>
    <row r="36" spans="1:15">
      <c r="A36" s="99">
        <v>31</v>
      </c>
      <c r="B36" s="99"/>
      <c r="C36" s="113">
        <f t="shared" si="3"/>
        <v>1470256031.3458447</v>
      </c>
      <c r="D36" s="113">
        <f t="shared" si="4"/>
        <v>824633398.11706424</v>
      </c>
      <c r="E36" s="113">
        <f t="shared" si="5"/>
        <v>2294889429.4629102</v>
      </c>
      <c r="F36" s="113"/>
      <c r="G36" s="113"/>
      <c r="H36" s="113"/>
      <c r="I36" s="113"/>
      <c r="J36" s="113"/>
      <c r="K36" s="113"/>
      <c r="L36" s="113">
        <f t="shared" si="1"/>
        <v>2818858224.7516489</v>
      </c>
      <c r="M36" s="113"/>
      <c r="N36" s="113"/>
      <c r="O36" s="99"/>
    </row>
    <row r="37" spans="1:15">
      <c r="A37" s="99">
        <v>32</v>
      </c>
      <c r="B37" s="99"/>
      <c r="C37" s="113">
        <f t="shared" si="3"/>
        <v>1471222775.0376885</v>
      </c>
      <c r="D37" s="113">
        <f t="shared" si="4"/>
        <v>825175622.81719601</v>
      </c>
      <c r="E37" s="113">
        <f t="shared" si="5"/>
        <v>2296398397.8548856</v>
      </c>
      <c r="F37" s="113"/>
      <c r="G37" s="113"/>
      <c r="H37" s="113"/>
      <c r="I37" s="113"/>
      <c r="J37" s="113"/>
      <c r="K37" s="113"/>
      <c r="L37" s="113">
        <f t="shared" si="1"/>
        <v>2820711720.5706635</v>
      </c>
      <c r="M37" s="113"/>
      <c r="N37" s="113"/>
      <c r="O37" s="99"/>
    </row>
    <row r="38" spans="1:15">
      <c r="A38" s="99">
        <v>33</v>
      </c>
      <c r="B38" s="99"/>
      <c r="C38" s="113">
        <f t="shared" si="3"/>
        <v>1472190154.3966174</v>
      </c>
      <c r="D38" s="113">
        <f t="shared" si="4"/>
        <v>825718204.04863739</v>
      </c>
      <c r="E38" s="113">
        <f t="shared" si="5"/>
        <v>2297908358.4452558</v>
      </c>
      <c r="F38" s="113"/>
      <c r="G38" s="113" t="s">
        <v>25</v>
      </c>
      <c r="H38" s="113"/>
      <c r="I38" s="113"/>
      <c r="J38" s="113"/>
      <c r="K38" s="113"/>
      <c r="L38" s="113">
        <f t="shared" si="1"/>
        <v>2822566435.1266551</v>
      </c>
      <c r="M38" s="113"/>
      <c r="N38" s="113"/>
      <c r="O38" s="99"/>
    </row>
    <row r="39" spans="1:15">
      <c r="A39" s="99">
        <v>34</v>
      </c>
      <c r="B39" s="99"/>
      <c r="C39" s="113">
        <f t="shared" si="3"/>
        <v>1473158169.8406043</v>
      </c>
      <c r="D39" s="113">
        <f t="shared" si="4"/>
        <v>826261142.04582</v>
      </c>
      <c r="E39" s="113">
        <f t="shared" si="5"/>
        <v>2299419311.886425</v>
      </c>
      <c r="F39" s="113"/>
      <c r="G39" s="113"/>
      <c r="H39" s="113"/>
      <c r="I39" s="113"/>
      <c r="J39" s="113"/>
      <c r="K39" s="113"/>
      <c r="L39" s="113">
        <f t="shared" si="1"/>
        <v>2824422369.2209849</v>
      </c>
      <c r="M39" s="113"/>
      <c r="N39" s="113"/>
      <c r="O39" s="99"/>
    </row>
    <row r="40" spans="1:15">
      <c r="A40" s="99">
        <v>35</v>
      </c>
      <c r="B40" s="99"/>
      <c r="C40" s="113">
        <f t="shared" si="3"/>
        <v>1474126821.7878966</v>
      </c>
      <c r="D40" s="113">
        <f t="shared" si="4"/>
        <v>826804437.0433296</v>
      </c>
      <c r="E40" s="113">
        <f t="shared" si="5"/>
        <v>2300931258.8312268</v>
      </c>
      <c r="F40" s="113"/>
      <c r="G40" s="113"/>
      <c r="H40" s="113"/>
      <c r="I40" s="113"/>
      <c r="J40" s="113"/>
      <c r="K40" s="113"/>
      <c r="L40" s="113">
        <f t="shared" si="1"/>
        <v>2826279523.6555409</v>
      </c>
      <c r="M40" s="113"/>
      <c r="N40" s="113"/>
      <c r="O40" s="99"/>
    </row>
    <row r="41" spans="1:15">
      <c r="A41" s="99">
        <v>36</v>
      </c>
      <c r="B41" s="99"/>
      <c r="C41" s="113">
        <f t="shared" si="3"/>
        <v>1475096110.6570175</v>
      </c>
      <c r="D41" s="113">
        <f t="shared" si="4"/>
        <v>827348089.27590597</v>
      </c>
      <c r="E41" s="113">
        <f t="shared" si="5"/>
        <v>2302444199.9329243</v>
      </c>
      <c r="F41" s="113"/>
      <c r="G41" s="113"/>
      <c r="H41" s="113"/>
      <c r="I41" s="113"/>
      <c r="J41" s="113"/>
      <c r="K41" s="113"/>
      <c r="L41" s="113">
        <f t="shared" si="1"/>
        <v>2828137899.232739</v>
      </c>
      <c r="M41" s="113"/>
      <c r="N41" s="113"/>
      <c r="O41" s="99"/>
    </row>
    <row r="42" spans="1:15">
      <c r="A42" s="99">
        <v>37</v>
      </c>
      <c r="B42" s="99"/>
      <c r="C42" s="113">
        <f t="shared" si="3"/>
        <v>1476066036.8667645</v>
      </c>
      <c r="D42" s="113">
        <f t="shared" si="4"/>
        <v>827892098.9784435</v>
      </c>
      <c r="E42" s="113">
        <f t="shared" si="5"/>
        <v>2303958135.8452091</v>
      </c>
      <c r="F42" s="113"/>
      <c r="G42" s="113"/>
      <c r="H42" s="113"/>
      <c r="I42" s="113"/>
      <c r="J42" s="113"/>
      <c r="K42" s="113"/>
      <c r="L42" s="113">
        <f t="shared" si="1"/>
        <v>2829997496.7555223</v>
      </c>
      <c r="M42" s="113"/>
      <c r="N42" s="113"/>
      <c r="O42" s="99"/>
    </row>
    <row r="43" spans="1:15">
      <c r="A43" s="99">
        <v>38</v>
      </c>
      <c r="B43" s="99"/>
      <c r="C43" s="113">
        <f t="shared" si="3"/>
        <v>1477036600.8362112</v>
      </c>
      <c r="D43" s="113">
        <f t="shared" si="4"/>
        <v>828436466.38599098</v>
      </c>
      <c r="E43" s="113">
        <f t="shared" si="5"/>
        <v>2305473067.2222033</v>
      </c>
      <c r="F43" s="113"/>
      <c r="G43" s="113"/>
      <c r="H43" s="113"/>
      <c r="I43" s="113"/>
      <c r="J43" s="113"/>
      <c r="K43" s="113"/>
      <c r="L43" s="113">
        <f t="shared" si="1"/>
        <v>2831858317.0273614</v>
      </c>
      <c r="M43" s="113"/>
      <c r="N43" s="113"/>
      <c r="O43" s="99"/>
    </row>
    <row r="44" spans="1:15">
      <c r="A44" s="99">
        <v>39</v>
      </c>
      <c r="B44" s="99"/>
      <c r="C44" s="113">
        <f t="shared" si="3"/>
        <v>1478007802.9847062</v>
      </c>
      <c r="D44" s="113">
        <f t="shared" si="4"/>
        <v>828981191.73375165</v>
      </c>
      <c r="E44" s="113">
        <f t="shared" si="5"/>
        <v>2306988994.7184591</v>
      </c>
      <c r="F44" s="113"/>
      <c r="G44" s="113"/>
      <c r="H44" s="113"/>
      <c r="I44" s="113"/>
      <c r="J44" s="113"/>
      <c r="K44" s="113"/>
      <c r="L44" s="113">
        <f t="shared" si="1"/>
        <v>2833720360.8522563</v>
      </c>
      <c r="M44" s="113"/>
      <c r="N44" s="113"/>
      <c r="O44" s="99"/>
    </row>
    <row r="45" spans="1:15">
      <c r="A45" s="99">
        <v>40</v>
      </c>
      <c r="B45" s="99"/>
      <c r="C45" s="113">
        <f t="shared" si="3"/>
        <v>1478979643.7318742</v>
      </c>
      <c r="D45" s="113">
        <f t="shared" si="4"/>
        <v>829526275.25708342</v>
      </c>
      <c r="E45" s="113">
        <f t="shared" si="5"/>
        <v>2308505918.9889588</v>
      </c>
      <c r="F45" s="113"/>
      <c r="G45" s="113"/>
      <c r="H45" s="113"/>
      <c r="I45" s="113"/>
      <c r="J45" s="113"/>
      <c r="K45" s="113"/>
      <c r="L45" s="113">
        <f t="shared" si="1"/>
        <v>2835583629.0347342</v>
      </c>
      <c r="M45" s="113"/>
      <c r="N45" s="113"/>
      <c r="O45" s="99"/>
    </row>
    <row r="51" spans="1:14" ht="15.75" thickBot="1"/>
    <row r="52" spans="1:14" ht="27" thickBot="1">
      <c r="A52" s="284" t="s">
        <v>4524</v>
      </c>
      <c r="B52" s="284" t="s">
        <v>5430</v>
      </c>
      <c r="C52" s="284" t="s">
        <v>5431</v>
      </c>
      <c r="D52" s="284" t="s">
        <v>5432</v>
      </c>
      <c r="E52" s="284" t="s">
        <v>4263</v>
      </c>
      <c r="F52" s="284" t="s">
        <v>5433</v>
      </c>
      <c r="G52" s="284" t="s">
        <v>5434</v>
      </c>
      <c r="H52" s="284" t="s">
        <v>5435</v>
      </c>
      <c r="I52" s="284" t="s">
        <v>5436</v>
      </c>
      <c r="J52" s="284" t="s">
        <v>5437</v>
      </c>
      <c r="K52" s="284" t="s">
        <v>5438</v>
      </c>
      <c r="L52" s="284" t="s">
        <v>5439</v>
      </c>
      <c r="M52" s="284" t="s">
        <v>5440</v>
      </c>
      <c r="N52" s="284" t="s">
        <v>5441</v>
      </c>
    </row>
    <row r="53" spans="1:14" ht="15.75" thickBot="1">
      <c r="A53" s="285" t="s">
        <v>4233</v>
      </c>
      <c r="B53" s="286">
        <v>2806332</v>
      </c>
      <c r="C53" s="286">
        <v>5993639424</v>
      </c>
      <c r="D53" s="286">
        <v>2136</v>
      </c>
      <c r="E53" s="286">
        <v>5184</v>
      </c>
      <c r="F53" s="286">
        <v>14406181843</v>
      </c>
      <c r="G53" s="286">
        <v>2157</v>
      </c>
      <c r="H53" s="286">
        <v>1296909440</v>
      </c>
      <c r="I53" s="286">
        <v>314122000</v>
      </c>
      <c r="J53" s="286">
        <v>8412542419</v>
      </c>
      <c r="K53" s="287">
        <v>1.4036</v>
      </c>
      <c r="L53" s="286">
        <v>10023573859</v>
      </c>
      <c r="M53" s="287">
        <v>1.1309</v>
      </c>
      <c r="N53" s="287">
        <v>0.83099999999999996</v>
      </c>
    </row>
    <row r="54" spans="1:14" ht="15.75" thickBot="1">
      <c r="A54" s="285" t="s">
        <v>4383</v>
      </c>
      <c r="B54" s="286">
        <v>27101</v>
      </c>
      <c r="C54" s="286">
        <v>2027973760</v>
      </c>
      <c r="D54" s="286">
        <v>74830</v>
      </c>
      <c r="E54" s="286">
        <v>75601</v>
      </c>
      <c r="F54" s="286">
        <v>2028886290</v>
      </c>
      <c r="G54" s="286">
        <v>75567</v>
      </c>
      <c r="H54" s="286">
        <v>3434430</v>
      </c>
      <c r="I54" s="285">
        <v>0</v>
      </c>
      <c r="J54" s="286">
        <v>912530</v>
      </c>
      <c r="K54" s="287">
        <v>4.0000000000000002E-4</v>
      </c>
      <c r="L54" s="286">
        <v>4346960</v>
      </c>
      <c r="M54" s="287">
        <v>2E-3</v>
      </c>
      <c r="N54" s="287">
        <v>0.11700000000000001</v>
      </c>
    </row>
    <row r="55" spans="1:14" ht="15.75" thickBot="1">
      <c r="A55" s="285" t="s">
        <v>4397</v>
      </c>
      <c r="B55" s="286">
        <v>54523</v>
      </c>
      <c r="C55" s="286">
        <v>397795200</v>
      </c>
      <c r="D55" s="286">
        <v>7296</v>
      </c>
      <c r="E55" s="286">
        <v>12992</v>
      </c>
      <c r="F55" s="286">
        <v>701456279</v>
      </c>
      <c r="G55" s="286">
        <v>7368</v>
      </c>
      <c r="H55" s="286">
        <v>455670432</v>
      </c>
      <c r="I55" s="286">
        <v>162660000</v>
      </c>
      <c r="J55" s="286">
        <v>303661079</v>
      </c>
      <c r="K55" s="287">
        <v>0.76339999999999997</v>
      </c>
      <c r="L55" s="286">
        <v>921991511</v>
      </c>
      <c r="M55" s="287">
        <v>0.53590000000000004</v>
      </c>
      <c r="N55" s="287">
        <v>4.0500000000000001E-2</v>
      </c>
    </row>
    <row r="56" spans="1:14" ht="15.75" thickBot="1">
      <c r="A56" s="285" t="s">
        <v>5401</v>
      </c>
      <c r="B56" s="286">
        <v>45598</v>
      </c>
      <c r="C56" s="286">
        <v>182155728</v>
      </c>
      <c r="D56" s="286">
        <v>3995</v>
      </c>
      <c r="E56" s="286">
        <v>3918</v>
      </c>
      <c r="F56" s="286">
        <v>176911098</v>
      </c>
      <c r="G56" s="286">
        <v>4034</v>
      </c>
      <c r="H56" s="286">
        <v>3904</v>
      </c>
      <c r="I56" s="285">
        <v>0</v>
      </c>
      <c r="J56" s="286">
        <v>-5244630</v>
      </c>
      <c r="K56" s="287">
        <v>-2.8799999999999999E-2</v>
      </c>
      <c r="L56" s="286">
        <v>-5240726</v>
      </c>
      <c r="M56" s="287">
        <v>-2.86E-2</v>
      </c>
      <c r="N56" s="287">
        <v>1.0200000000000001E-2</v>
      </c>
    </row>
    <row r="57" spans="1:14" ht="15.75" thickBot="1">
      <c r="A57" s="285" t="s">
        <v>5395</v>
      </c>
      <c r="B57" s="286">
        <v>3073</v>
      </c>
      <c r="C57" s="286">
        <v>14075376</v>
      </c>
      <c r="D57" s="286">
        <v>4580</v>
      </c>
      <c r="E57" s="286">
        <v>4903</v>
      </c>
      <c r="F57" s="286">
        <v>14920017</v>
      </c>
      <c r="G57" s="286">
        <v>4625</v>
      </c>
      <c r="H57" s="286">
        <v>1818148</v>
      </c>
      <c r="I57" s="285">
        <v>0</v>
      </c>
      <c r="J57" s="286">
        <v>844641</v>
      </c>
      <c r="K57" s="288">
        <v>0.06</v>
      </c>
      <c r="L57" s="286">
        <v>2662789</v>
      </c>
      <c r="M57" s="287">
        <v>5.2499999999999998E-2</v>
      </c>
      <c r="N57" s="287">
        <v>8.9999999999999998E-4</v>
      </c>
    </row>
    <row r="58" spans="1:14" ht="15.75" thickBot="1">
      <c r="A58" s="285" t="s">
        <v>5383</v>
      </c>
      <c r="B58" s="285">
        <v>369</v>
      </c>
      <c r="C58" s="286">
        <v>2085047</v>
      </c>
      <c r="D58" s="286">
        <v>5651</v>
      </c>
      <c r="E58" s="286">
        <v>7535</v>
      </c>
      <c r="F58" s="286">
        <v>2753306</v>
      </c>
      <c r="G58" s="286">
        <v>5707</v>
      </c>
      <c r="H58" s="285">
        <v>0</v>
      </c>
      <c r="I58" s="285">
        <v>0</v>
      </c>
      <c r="J58" s="286">
        <v>668259</v>
      </c>
      <c r="K58" s="287">
        <v>0.32050000000000001</v>
      </c>
      <c r="L58" s="286">
        <v>668259</v>
      </c>
      <c r="M58" s="287">
        <v>0.32050000000000001</v>
      </c>
      <c r="N58" s="287">
        <v>2.0000000000000001E-4</v>
      </c>
    </row>
    <row r="59" spans="1:14" ht="15.75" thickBot="1">
      <c r="A59" s="285" t="s">
        <v>4903</v>
      </c>
      <c r="B59" s="285">
        <v>100</v>
      </c>
      <c r="C59" s="286">
        <v>2844133</v>
      </c>
      <c r="D59" s="286">
        <v>28441</v>
      </c>
      <c r="E59" s="286">
        <v>28361</v>
      </c>
      <c r="F59" s="286">
        <v>2808448</v>
      </c>
      <c r="G59" s="286">
        <v>28721</v>
      </c>
      <c r="H59" s="285">
        <v>0</v>
      </c>
      <c r="I59" s="285">
        <v>0</v>
      </c>
      <c r="J59" s="286">
        <v>-35685</v>
      </c>
      <c r="K59" s="287">
        <v>-1.2500000000000001E-2</v>
      </c>
      <c r="L59" s="286">
        <v>-35685</v>
      </c>
      <c r="M59" s="287">
        <v>-1.2500000000000001E-2</v>
      </c>
      <c r="N59" s="287">
        <v>2.0000000000000001E-4</v>
      </c>
    </row>
    <row r="60" spans="1:14" ht="15.75" thickBot="1">
      <c r="A60" s="285" t="s">
        <v>5374</v>
      </c>
      <c r="B60" s="285">
        <v>38</v>
      </c>
      <c r="C60" s="286">
        <v>1126087</v>
      </c>
      <c r="D60" s="286">
        <v>29634</v>
      </c>
      <c r="E60" s="286">
        <v>45760</v>
      </c>
      <c r="F60" s="286">
        <v>1721926</v>
      </c>
      <c r="G60" s="286">
        <v>29926</v>
      </c>
      <c r="H60" s="285">
        <v>0</v>
      </c>
      <c r="I60" s="285">
        <v>0</v>
      </c>
      <c r="J60" s="286">
        <v>595839</v>
      </c>
      <c r="K60" s="287">
        <v>0.52910000000000001</v>
      </c>
      <c r="L60" s="286">
        <v>595839</v>
      </c>
      <c r="M60" s="287">
        <v>0.52910000000000001</v>
      </c>
      <c r="N60" s="287">
        <v>1E-4</v>
      </c>
    </row>
    <row r="61" spans="1:14" ht="15.75" thickBot="1">
      <c r="A61" s="285" t="s">
        <v>5412</v>
      </c>
      <c r="B61" s="285">
        <v>67</v>
      </c>
      <c r="C61" s="286">
        <v>1144282</v>
      </c>
      <c r="D61" s="286">
        <v>17079</v>
      </c>
      <c r="E61" s="286">
        <v>17000</v>
      </c>
      <c r="F61" s="286">
        <v>1127895</v>
      </c>
      <c r="G61" s="286">
        <v>17247</v>
      </c>
      <c r="H61" s="285">
        <v>0</v>
      </c>
      <c r="I61" s="285">
        <v>0</v>
      </c>
      <c r="J61" s="286">
        <v>-16387</v>
      </c>
      <c r="K61" s="287">
        <v>-1.43E-2</v>
      </c>
      <c r="L61" s="286">
        <v>-16387</v>
      </c>
      <c r="M61" s="287">
        <v>-1.43E-2</v>
      </c>
      <c r="N61" s="287">
        <v>1E-4</v>
      </c>
    </row>
    <row r="63" spans="1:14" ht="15.75" thickBot="1"/>
    <row r="64" spans="1:14" ht="27" thickBot="1">
      <c r="A64" s="284" t="s">
        <v>4524</v>
      </c>
      <c r="B64" s="284" t="s">
        <v>5430</v>
      </c>
      <c r="C64" s="284" t="s">
        <v>5431</v>
      </c>
      <c r="D64" s="284" t="s">
        <v>5432</v>
      </c>
      <c r="E64" s="284" t="s">
        <v>4263</v>
      </c>
      <c r="F64" s="284" t="s">
        <v>5433</v>
      </c>
      <c r="G64" s="284" t="s">
        <v>5434</v>
      </c>
      <c r="H64" s="284" t="s">
        <v>5435</v>
      </c>
      <c r="I64" s="284" t="s">
        <v>5436</v>
      </c>
      <c r="J64" s="284" t="s">
        <v>5437</v>
      </c>
      <c r="K64" s="284" t="s">
        <v>5438</v>
      </c>
      <c r="L64" s="284" t="s">
        <v>5439</v>
      </c>
      <c r="M64" s="284" t="s">
        <v>5440</v>
      </c>
      <c r="N64" s="284" t="s">
        <v>5441</v>
      </c>
    </row>
    <row r="65" spans="1:14" ht="15.75" thickBot="1">
      <c r="A65" s="285" t="s">
        <v>4233</v>
      </c>
      <c r="B65" s="286">
        <v>1574177</v>
      </c>
      <c r="C65" s="286">
        <v>3344449792</v>
      </c>
      <c r="D65" s="286">
        <v>2125</v>
      </c>
      <c r="E65" s="286">
        <v>5184</v>
      </c>
      <c r="F65" s="286">
        <v>8080968366</v>
      </c>
      <c r="G65" s="286">
        <v>2146</v>
      </c>
      <c r="H65" s="286">
        <v>309993152</v>
      </c>
      <c r="I65" s="286">
        <v>20607250</v>
      </c>
      <c r="J65" s="286">
        <v>4736518574</v>
      </c>
      <c r="K65" s="287">
        <v>1.4161999999999999</v>
      </c>
      <c r="L65" s="286">
        <v>5067118976</v>
      </c>
      <c r="M65" s="287">
        <v>1.2862</v>
      </c>
      <c r="N65" s="287">
        <v>0.78559999999999997</v>
      </c>
    </row>
    <row r="66" spans="1:14" ht="15.75" thickBot="1">
      <c r="A66" s="285" t="s">
        <v>4397</v>
      </c>
      <c r="B66" s="286">
        <v>146408</v>
      </c>
      <c r="C66" s="286">
        <v>824376640</v>
      </c>
      <c r="D66" s="286">
        <v>5631</v>
      </c>
      <c r="E66" s="286">
        <v>12992</v>
      </c>
      <c r="F66" s="286">
        <v>1883586942</v>
      </c>
      <c r="G66" s="286">
        <v>5686</v>
      </c>
      <c r="H66" s="286">
        <v>132503776</v>
      </c>
      <c r="I66" s="286">
        <v>241591500</v>
      </c>
      <c r="J66" s="286">
        <v>1059210302</v>
      </c>
      <c r="K66" s="287">
        <v>1.2848999999999999</v>
      </c>
      <c r="L66" s="286">
        <v>1433305578</v>
      </c>
      <c r="M66" s="287">
        <v>1.4287000000000001</v>
      </c>
      <c r="N66" s="287">
        <v>0.18310000000000001</v>
      </c>
    </row>
    <row r="67" spans="1:14" ht="15.75" thickBot="1">
      <c r="A67" s="285" t="s">
        <v>4383</v>
      </c>
      <c r="B67" s="286">
        <v>3975</v>
      </c>
      <c r="C67" s="286">
        <v>284494112</v>
      </c>
      <c r="D67" s="286">
        <v>71571</v>
      </c>
      <c r="E67" s="286">
        <v>75601</v>
      </c>
      <c r="F67" s="286">
        <v>297583964</v>
      </c>
      <c r="G67" s="286">
        <v>72276</v>
      </c>
      <c r="H67" s="286">
        <v>2696941</v>
      </c>
      <c r="I67" s="285">
        <v>0</v>
      </c>
      <c r="J67" s="286">
        <v>13089852</v>
      </c>
      <c r="K67" s="287">
        <v>4.5999999999999999E-2</v>
      </c>
      <c r="L67" s="286">
        <v>15786793</v>
      </c>
      <c r="M67" s="287">
        <v>4.36E-2</v>
      </c>
      <c r="N67" s="287">
        <v>2.8899999999999999E-2</v>
      </c>
    </row>
    <row r="68" spans="1:14" ht="15.75" thickBot="1">
      <c r="A68" s="285" t="s">
        <v>5401</v>
      </c>
      <c r="B68" s="286">
        <v>4687</v>
      </c>
      <c r="C68" s="286">
        <v>18756876</v>
      </c>
      <c r="D68" s="286">
        <v>4002</v>
      </c>
      <c r="E68" s="286">
        <v>3918</v>
      </c>
      <c r="F68" s="286">
        <v>18184620</v>
      </c>
      <c r="G68" s="286">
        <v>4041</v>
      </c>
      <c r="H68" s="285">
        <v>0</v>
      </c>
      <c r="I68" s="285">
        <v>0</v>
      </c>
      <c r="J68" s="286">
        <v>-572256</v>
      </c>
      <c r="K68" s="287">
        <v>-3.0499999999999999E-2</v>
      </c>
      <c r="L68" s="286">
        <v>-572256</v>
      </c>
      <c r="M68" s="287">
        <v>-3.0499999999999999E-2</v>
      </c>
      <c r="N68" s="287">
        <v>1.8E-3</v>
      </c>
    </row>
    <row r="69" spans="1:14" ht="15.75" thickBot="1">
      <c r="A69" s="285" t="s">
        <v>5383</v>
      </c>
      <c r="B69" s="285">
        <v>369</v>
      </c>
      <c r="C69" s="286">
        <v>2085047</v>
      </c>
      <c r="D69" s="286">
        <v>5651</v>
      </c>
      <c r="E69" s="286">
        <v>7535</v>
      </c>
      <c r="F69" s="286">
        <v>2753306</v>
      </c>
      <c r="G69" s="286">
        <v>5707</v>
      </c>
      <c r="H69" s="285">
        <v>0</v>
      </c>
      <c r="I69" s="285">
        <v>0</v>
      </c>
      <c r="J69" s="286">
        <v>668259</v>
      </c>
      <c r="K69" s="287">
        <v>0.32050000000000001</v>
      </c>
      <c r="L69" s="286">
        <v>668259</v>
      </c>
      <c r="M69" s="287">
        <v>0.32050000000000001</v>
      </c>
      <c r="N69" s="287">
        <v>2.9999999999999997E-4</v>
      </c>
    </row>
    <row r="70" spans="1:14" ht="15.75" thickBot="1">
      <c r="A70" s="285" t="s">
        <v>5374</v>
      </c>
      <c r="B70" s="285">
        <v>38</v>
      </c>
      <c r="C70" s="286">
        <v>1126087</v>
      </c>
      <c r="D70" s="286">
        <v>29634</v>
      </c>
      <c r="E70" s="286">
        <v>45760</v>
      </c>
      <c r="F70" s="286">
        <v>1721926</v>
      </c>
      <c r="G70" s="286">
        <v>29926</v>
      </c>
      <c r="H70" s="285">
        <v>0</v>
      </c>
      <c r="I70" s="285">
        <v>0</v>
      </c>
      <c r="J70" s="286">
        <v>595839</v>
      </c>
      <c r="K70" s="287">
        <v>0.52910000000000001</v>
      </c>
      <c r="L70" s="286">
        <v>595839</v>
      </c>
      <c r="M70" s="287">
        <v>0.52910000000000001</v>
      </c>
      <c r="N70" s="287">
        <v>2.0000000000000001E-4</v>
      </c>
    </row>
    <row r="71" spans="1:14" ht="15.75" thickBot="1">
      <c r="A71" s="285" t="s">
        <v>5412</v>
      </c>
      <c r="B71" s="285">
        <v>67</v>
      </c>
      <c r="C71" s="286">
        <v>1144282</v>
      </c>
      <c r="D71" s="286">
        <v>17079</v>
      </c>
      <c r="E71" s="286">
        <v>17000</v>
      </c>
      <c r="F71" s="286">
        <v>1127895</v>
      </c>
      <c r="G71" s="286">
        <v>17247</v>
      </c>
      <c r="H71" s="285">
        <v>0</v>
      </c>
      <c r="I71" s="285">
        <v>0</v>
      </c>
      <c r="J71" s="286">
        <v>-16387</v>
      </c>
      <c r="K71" s="287">
        <v>-1.43E-2</v>
      </c>
      <c r="L71" s="286">
        <v>-16387</v>
      </c>
      <c r="M71" s="287">
        <v>-1.43E-2</v>
      </c>
      <c r="N71" s="287">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4263</v>
      </c>
      <c r="D1" s="99" t="s">
        <v>4264</v>
      </c>
      <c r="E1" s="99" t="s">
        <v>4265</v>
      </c>
      <c r="F1" s="99" t="s">
        <v>4266</v>
      </c>
      <c r="G1" s="74" t="s">
        <v>4267</v>
      </c>
      <c r="H1" s="74" t="s">
        <v>4419</v>
      </c>
      <c r="I1" s="74" t="s">
        <v>4290</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4524</v>
      </c>
      <c r="Z2" s="99" t="s">
        <v>4579</v>
      </c>
      <c r="AA2" s="99" t="s">
        <v>4577</v>
      </c>
      <c r="AB2" s="99" t="s">
        <v>4578</v>
      </c>
      <c r="AC2" s="99" t="s">
        <v>4581</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 t="shared" ref="AB3:AB4" si="0">AA3/Z3</f>
        <v>0.65328467153284675</v>
      </c>
      <c r="AC3" s="99" t="s">
        <v>4583</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4580</v>
      </c>
      <c r="Z4" s="99">
        <v>1</v>
      </c>
      <c r="AA4" s="99">
        <v>1</v>
      </c>
      <c r="AB4" s="99">
        <f t="shared" si="0"/>
        <v>1</v>
      </c>
      <c r="AC4" s="99" t="s">
        <v>4582</v>
      </c>
      <c r="AD4" s="99"/>
      <c r="AE4" s="99"/>
      <c r="AF4" s="99"/>
      <c r="AG4" s="99"/>
      <c r="AH4" s="99"/>
    </row>
    <row r="5" spans="1:34">
      <c r="A5" s="99">
        <v>4</v>
      </c>
      <c r="B5" s="99"/>
      <c r="C5" s="169">
        <v>102</v>
      </c>
      <c r="D5" s="99">
        <v>20000</v>
      </c>
      <c r="E5" s="99">
        <f t="shared" si="1"/>
        <v>980000</v>
      </c>
      <c r="F5" s="169">
        <f t="shared" si="2"/>
        <v>-2030004</v>
      </c>
      <c r="G5" s="169">
        <f t="shared" si="3"/>
        <v>9996</v>
      </c>
      <c r="Y5" s="99" t="s">
        <v>4566</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4268</v>
      </c>
      <c r="G27" s="99" t="s">
        <v>4269</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 t="shared" ref="E41:E62" si="5">E42+D41</f>
        <v>240</v>
      </c>
      <c r="F41" s="99">
        <f t="shared" si="0"/>
        <v>0</v>
      </c>
      <c r="G41" s="99">
        <f t="shared" si="2"/>
        <v>-75624240</v>
      </c>
    </row>
    <row r="42" spans="1:14">
      <c r="A42" s="99" t="s">
        <v>3683</v>
      </c>
      <c r="B42" s="113">
        <v>-416000</v>
      </c>
      <c r="C42" s="99" t="s">
        <v>4027</v>
      </c>
      <c r="D42" s="99">
        <v>133</v>
      </c>
      <c r="E42" s="99">
        <f t="shared" si="5"/>
        <v>238</v>
      </c>
      <c r="F42" s="99">
        <f t="shared" si="0"/>
        <v>0</v>
      </c>
      <c r="G42" s="99">
        <f t="shared" si="2"/>
        <v>-99008000</v>
      </c>
      <c r="N42" t="s">
        <v>25</v>
      </c>
    </row>
    <row r="43" spans="1:14">
      <c r="A43" s="99" t="s">
        <v>4556</v>
      </c>
      <c r="B43" s="113">
        <v>100000</v>
      </c>
      <c r="C43" s="99" t="s">
        <v>3887</v>
      </c>
      <c r="D43" s="99">
        <v>58</v>
      </c>
      <c r="E43" s="99">
        <f t="shared" si="5"/>
        <v>105</v>
      </c>
      <c r="F43" s="99">
        <f t="shared" si="0"/>
        <v>1</v>
      </c>
      <c r="G43" s="99">
        <f t="shared" si="2"/>
        <v>10400000</v>
      </c>
    </row>
    <row r="44" spans="1:14">
      <c r="A44" s="99" t="s">
        <v>4729</v>
      </c>
      <c r="B44" s="113">
        <v>-31000</v>
      </c>
      <c r="C44" s="99" t="s">
        <v>4738</v>
      </c>
      <c r="D44" s="99">
        <v>19</v>
      </c>
      <c r="E44" s="99">
        <f t="shared" ref="E44:E50" si="6">E45+D44</f>
        <v>47</v>
      </c>
      <c r="F44" s="99">
        <f t="shared" ref="F44:F50" si="7">IF(B44&gt;0,1,0)</f>
        <v>0</v>
      </c>
      <c r="G44" s="99">
        <f t="shared" ref="G44:G50" si="8">B44*(E44-F44)</f>
        <v>-1457000</v>
      </c>
    </row>
    <row r="45" spans="1:14">
      <c r="A45" s="99" t="s">
        <v>4805</v>
      </c>
      <c r="B45" s="113">
        <v>2060725</v>
      </c>
      <c r="C45" s="99" t="s">
        <v>4808</v>
      </c>
      <c r="D45" s="99">
        <v>6</v>
      </c>
      <c r="E45" s="99">
        <f t="shared" si="6"/>
        <v>28</v>
      </c>
      <c r="F45" s="99">
        <f t="shared" si="7"/>
        <v>1</v>
      </c>
      <c r="G45" s="99">
        <f t="shared" si="8"/>
        <v>55639575</v>
      </c>
    </row>
    <row r="46" spans="1:14">
      <c r="A46" s="99" t="s">
        <v>4829</v>
      </c>
      <c r="B46" s="113">
        <v>-1073169</v>
      </c>
      <c r="C46" s="99" t="s">
        <v>4830</v>
      </c>
      <c r="D46" s="99">
        <v>4</v>
      </c>
      <c r="E46" s="99">
        <f t="shared" si="6"/>
        <v>22</v>
      </c>
      <c r="F46" s="99">
        <f t="shared" si="7"/>
        <v>0</v>
      </c>
      <c r="G46" s="99">
        <f t="shared" si="8"/>
        <v>-23609718</v>
      </c>
    </row>
    <row r="47" spans="1:14">
      <c r="A47" s="99" t="s">
        <v>4821</v>
      </c>
      <c r="B47" s="113">
        <v>-178820</v>
      </c>
      <c r="C47" s="99" t="s">
        <v>4010</v>
      </c>
      <c r="D47" s="99">
        <v>0</v>
      </c>
      <c r="E47" s="99">
        <f t="shared" si="6"/>
        <v>18</v>
      </c>
      <c r="F47" s="99">
        <f t="shared" si="7"/>
        <v>0</v>
      </c>
      <c r="G47" s="99">
        <f t="shared" si="8"/>
        <v>-3218760</v>
      </c>
      <c r="L47" t="s">
        <v>25</v>
      </c>
    </row>
    <row r="48" spans="1:14">
      <c r="A48" s="99" t="s">
        <v>4821</v>
      </c>
      <c r="B48" s="113">
        <v>-25000</v>
      </c>
      <c r="C48" s="99" t="s">
        <v>749</v>
      </c>
      <c r="D48" s="99">
        <v>4</v>
      </c>
      <c r="E48" s="99">
        <f t="shared" si="6"/>
        <v>18</v>
      </c>
      <c r="F48" s="99">
        <f t="shared" si="7"/>
        <v>0</v>
      </c>
      <c r="G48" s="99">
        <f t="shared" si="8"/>
        <v>-450000</v>
      </c>
      <c r="L48" t="s">
        <v>25</v>
      </c>
    </row>
    <row r="49" spans="1:13">
      <c r="A49" s="99" t="s">
        <v>4834</v>
      </c>
      <c r="B49" s="113">
        <v>-49500</v>
      </c>
      <c r="C49" s="99" t="s">
        <v>452</v>
      </c>
      <c r="D49" s="99">
        <v>2</v>
      </c>
      <c r="E49" s="99">
        <f t="shared" si="6"/>
        <v>14</v>
      </c>
      <c r="F49" s="99">
        <f t="shared" si="7"/>
        <v>0</v>
      </c>
      <c r="G49" s="99">
        <f t="shared" si="8"/>
        <v>-693000</v>
      </c>
    </row>
    <row r="50" spans="1:13">
      <c r="A50" s="99" t="s">
        <v>4837</v>
      </c>
      <c r="B50" s="113">
        <v>-4500</v>
      </c>
      <c r="C50" s="99" t="s">
        <v>452</v>
      </c>
      <c r="D50" s="99">
        <v>1</v>
      </c>
      <c r="E50" s="99">
        <f t="shared" si="6"/>
        <v>12</v>
      </c>
      <c r="F50" s="99">
        <f t="shared" si="7"/>
        <v>0</v>
      </c>
      <c r="G50" s="99">
        <f t="shared" si="8"/>
        <v>-54000</v>
      </c>
    </row>
    <row r="51" spans="1:13">
      <c r="A51" s="99" t="s">
        <v>4838</v>
      </c>
      <c r="B51" s="113">
        <v>-328000</v>
      </c>
      <c r="C51" s="99" t="s">
        <v>452</v>
      </c>
      <c r="D51" s="99">
        <v>4</v>
      </c>
      <c r="E51" s="99">
        <f t="shared" ref="E51:E61" si="9">E52+D51</f>
        <v>11</v>
      </c>
      <c r="F51" s="99">
        <f t="shared" ref="F51:F61" si="10">IF(B51&gt;0,1,0)</f>
        <v>0</v>
      </c>
      <c r="G51" s="99">
        <f t="shared" ref="G51:G61" si="11">B51*(E51-F51)</f>
        <v>-3608000</v>
      </c>
    </row>
    <row r="52" spans="1:13">
      <c r="A52" s="99" t="s">
        <v>4842</v>
      </c>
      <c r="B52" s="113">
        <v>-195330</v>
      </c>
      <c r="C52" s="99" t="s">
        <v>4847</v>
      </c>
      <c r="D52" s="99">
        <v>1</v>
      </c>
      <c r="E52" s="99">
        <f t="shared" si="9"/>
        <v>7</v>
      </c>
      <c r="F52" s="99">
        <f t="shared" si="10"/>
        <v>0</v>
      </c>
      <c r="G52" s="99">
        <f t="shared" si="11"/>
        <v>-1367310</v>
      </c>
    </row>
    <row r="53" spans="1:13">
      <c r="A53" s="99" t="s">
        <v>4850</v>
      </c>
      <c r="B53" s="113">
        <v>-140730</v>
      </c>
      <c r="C53" s="99" t="s">
        <v>4853</v>
      </c>
      <c r="D53" s="99">
        <v>1</v>
      </c>
      <c r="E53" s="99">
        <f t="shared" si="9"/>
        <v>6</v>
      </c>
      <c r="F53" s="99">
        <f t="shared" si="10"/>
        <v>0</v>
      </c>
      <c r="G53" s="99">
        <f t="shared" si="11"/>
        <v>-844380</v>
      </c>
    </row>
    <row r="54" spans="1:13">
      <c r="A54" s="99" t="s">
        <v>4851</v>
      </c>
      <c r="B54" s="113">
        <v>-4200</v>
      </c>
      <c r="C54" s="99" t="s">
        <v>1067</v>
      </c>
      <c r="D54" s="99">
        <v>0</v>
      </c>
      <c r="E54" s="99">
        <f t="shared" si="9"/>
        <v>5</v>
      </c>
      <c r="F54" s="99">
        <f t="shared" si="10"/>
        <v>0</v>
      </c>
      <c r="G54" s="99">
        <f t="shared" si="11"/>
        <v>-21000</v>
      </c>
    </row>
    <row r="55" spans="1:13">
      <c r="A55" s="99" t="s">
        <v>4851</v>
      </c>
      <c r="B55" s="113">
        <v>-66567</v>
      </c>
      <c r="C55" s="99" t="s">
        <v>4010</v>
      </c>
      <c r="D55" s="99">
        <v>4</v>
      </c>
      <c r="E55" s="99">
        <f t="shared" si="9"/>
        <v>5</v>
      </c>
      <c r="F55" s="99">
        <f t="shared" si="10"/>
        <v>0</v>
      </c>
      <c r="G55" s="99">
        <f t="shared" si="11"/>
        <v>-332835</v>
      </c>
    </row>
    <row r="56" spans="1:13">
      <c r="A56" s="99" t="s">
        <v>4855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H37" sqref="H3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99000</v>
      </c>
      <c r="H29" s="11" t="s">
        <v>569</v>
      </c>
      <c r="I29" s="11">
        <v>165000</v>
      </c>
      <c r="J29" s="11" t="s">
        <v>564</v>
      </c>
    </row>
    <row r="30" spans="2:21">
      <c r="G30" s="11">
        <f t="shared" si="5"/>
        <v>64000</v>
      </c>
      <c r="H30" s="11" t="s">
        <v>570</v>
      </c>
      <c r="I30" s="11">
        <v>200000</v>
      </c>
      <c r="J30" s="11" t="s">
        <v>565</v>
      </c>
    </row>
    <row r="31" spans="2:21">
      <c r="G31" s="11">
        <f t="shared" si="5"/>
        <v>7000</v>
      </c>
      <c r="H31" s="11" t="s">
        <v>5197</v>
      </c>
      <c r="I31" s="11">
        <v>257000</v>
      </c>
      <c r="J31" s="11" t="s">
        <v>477</v>
      </c>
    </row>
    <row r="32" spans="2:21">
      <c r="G32" s="11">
        <f>$I$48-I32</f>
        <v>79000</v>
      </c>
      <c r="H32" s="59" t="s">
        <v>792</v>
      </c>
      <c r="I32" s="11">
        <v>185000</v>
      </c>
      <c r="J32" s="11" t="s">
        <v>558</v>
      </c>
    </row>
    <row r="33" spans="6:23">
      <c r="G33" s="11">
        <f t="shared" si="5"/>
        <v>33000</v>
      </c>
      <c r="H33" s="11" t="s">
        <v>5197</v>
      </c>
      <c r="I33" s="11">
        <v>231000</v>
      </c>
      <c r="J33" s="11" t="s">
        <v>566</v>
      </c>
    </row>
    <row r="34" spans="6:23">
      <c r="G34" s="11">
        <f t="shared" si="5"/>
        <v>7000</v>
      </c>
      <c r="H34" s="11" t="s">
        <v>5197</v>
      </c>
      <c r="I34" s="11">
        <v>257000</v>
      </c>
      <c r="J34" s="11" t="s">
        <v>567</v>
      </c>
    </row>
    <row r="35" spans="6:23">
      <c r="G35" s="11">
        <f t="shared" si="5"/>
        <v>7000</v>
      </c>
      <c r="H35" s="11" t="s">
        <v>5197</v>
      </c>
      <c r="I35" s="11">
        <v>257000</v>
      </c>
      <c r="J35" s="11" t="s">
        <v>568</v>
      </c>
    </row>
    <row r="36" spans="6:23">
      <c r="F36" t="s">
        <v>25</v>
      </c>
      <c r="G36" s="11">
        <f t="shared" si="5"/>
        <v>0</v>
      </c>
      <c r="H36" s="11" t="s">
        <v>5455</v>
      </c>
      <c r="I36" s="11">
        <v>264000</v>
      </c>
      <c r="J36" s="11" t="s">
        <v>641</v>
      </c>
      <c r="O36" s="22"/>
    </row>
    <row r="37" spans="6:23">
      <c r="G37" s="11">
        <f t="shared" si="5"/>
        <v>6000</v>
      </c>
      <c r="H37" s="11" t="s">
        <v>5241</v>
      </c>
      <c r="I37" s="11">
        <v>258000</v>
      </c>
      <c r="J37" s="11" t="s">
        <v>650</v>
      </c>
    </row>
    <row r="38" spans="6:23">
      <c r="G38" s="11">
        <f t="shared" si="5"/>
        <v>39500</v>
      </c>
      <c r="H38" s="11" t="s">
        <v>708</v>
      </c>
      <c r="I38" s="11">
        <v>224500</v>
      </c>
      <c r="J38" s="11" t="s">
        <v>707</v>
      </c>
      <c r="M38" s="25"/>
      <c r="N38" s="25"/>
      <c r="O38" s="25"/>
      <c r="P38" s="25"/>
      <c r="Q38" s="25"/>
      <c r="R38" s="25"/>
      <c r="S38" s="25"/>
      <c r="T38" s="25"/>
      <c r="U38" s="25"/>
      <c r="V38" s="25"/>
      <c r="W38" s="25"/>
    </row>
    <row r="39" spans="6:23">
      <c r="G39" s="11">
        <f t="shared" si="5"/>
        <v>74000</v>
      </c>
      <c r="H39" s="11" t="s">
        <v>742</v>
      </c>
      <c r="I39" s="11">
        <v>190000</v>
      </c>
      <c r="J39" s="11" t="s">
        <v>741</v>
      </c>
      <c r="M39" s="25"/>
      <c r="N39" s="25"/>
      <c r="O39" s="25"/>
      <c r="P39" s="25"/>
      <c r="Q39" s="25"/>
      <c r="R39" s="25"/>
      <c r="S39" s="25"/>
      <c r="T39" s="25"/>
      <c r="U39" s="25"/>
      <c r="V39" s="25"/>
      <c r="W39" s="25"/>
    </row>
    <row r="40" spans="6:23">
      <c r="G40" s="11">
        <f t="shared" si="5"/>
        <v>39000</v>
      </c>
      <c r="H40" s="11" t="s">
        <v>740</v>
      </c>
      <c r="I40" s="11">
        <v>225000</v>
      </c>
      <c r="J40" s="11" t="s">
        <v>739</v>
      </c>
      <c r="M40" s="25"/>
      <c r="N40" s="25"/>
      <c r="O40" s="25"/>
      <c r="P40" s="25"/>
      <c r="Q40" s="25"/>
      <c r="R40" s="25"/>
      <c r="S40" s="25"/>
      <c r="T40" s="25"/>
      <c r="U40" s="25"/>
      <c r="V40" s="25"/>
      <c r="W40" s="25"/>
    </row>
    <row r="41" spans="6:23">
      <c r="G41" s="11">
        <f t="shared" si="5"/>
        <v>33000</v>
      </c>
      <c r="H41" s="11" t="s">
        <v>1099</v>
      </c>
      <c r="I41" s="11">
        <v>231000</v>
      </c>
      <c r="J41" s="11" t="s">
        <v>779</v>
      </c>
      <c r="M41" s="25"/>
      <c r="N41" s="25"/>
      <c r="O41" s="71"/>
      <c r="P41" s="25"/>
      <c r="Q41" s="71"/>
      <c r="R41" s="71"/>
      <c r="S41" s="28"/>
      <c r="T41" s="28"/>
      <c r="U41" s="28"/>
      <c r="V41" s="28"/>
      <c r="W41" s="28"/>
    </row>
    <row r="42" spans="6:23">
      <c r="G42" s="11">
        <f t="shared" ref="G42:G47" si="6">$I$48-I42</f>
        <v>48000</v>
      </c>
      <c r="H42" s="11" t="s">
        <v>780</v>
      </c>
      <c r="I42" s="11">
        <v>216000</v>
      </c>
      <c r="J42" s="11" t="s">
        <v>781</v>
      </c>
      <c r="M42" s="25"/>
      <c r="N42" s="25"/>
      <c r="O42" s="71"/>
      <c r="P42" s="25"/>
      <c r="Q42" s="71"/>
      <c r="R42" s="71"/>
      <c r="S42" s="28"/>
      <c r="T42" s="28"/>
      <c r="U42" s="25"/>
      <c r="V42" s="28"/>
      <c r="W42" s="28"/>
    </row>
    <row r="43" spans="6:23">
      <c r="G43" s="11">
        <f t="shared" si="6"/>
        <v>37000</v>
      </c>
      <c r="H43" s="11" t="s">
        <v>809</v>
      </c>
      <c r="I43" s="11">
        <v>227000</v>
      </c>
      <c r="J43" s="11" t="s">
        <v>810</v>
      </c>
      <c r="M43" s="25"/>
      <c r="N43" s="25"/>
      <c r="O43" s="25"/>
      <c r="P43" s="25"/>
      <c r="Q43" s="28"/>
      <c r="R43" s="25"/>
      <c r="S43" s="28"/>
      <c r="T43" s="25"/>
      <c r="U43" s="25"/>
      <c r="V43" s="25"/>
      <c r="W43" s="25"/>
    </row>
    <row r="44" spans="6:23">
      <c r="G44" s="11">
        <f t="shared" si="6"/>
        <v>35000</v>
      </c>
      <c r="H44" s="11" t="s">
        <v>872</v>
      </c>
      <c r="I44" s="11">
        <v>229000</v>
      </c>
      <c r="J44" s="11" t="s">
        <v>480</v>
      </c>
      <c r="M44" s="25"/>
      <c r="N44" s="25"/>
      <c r="O44" s="25"/>
      <c r="P44" s="25"/>
      <c r="Q44" s="25"/>
      <c r="R44" s="25"/>
      <c r="S44" s="25"/>
      <c r="T44" s="25"/>
      <c r="U44" s="25"/>
      <c r="V44" s="25"/>
      <c r="W44" s="25"/>
    </row>
    <row r="45" spans="6:23">
      <c r="G45" s="11">
        <f t="shared" si="6"/>
        <v>33000</v>
      </c>
      <c r="H45" s="11" t="s">
        <v>1099</v>
      </c>
      <c r="I45" s="11">
        <v>231000</v>
      </c>
      <c r="J45" s="11" t="s">
        <v>1098</v>
      </c>
      <c r="M45" s="25"/>
      <c r="N45" s="25"/>
      <c r="O45" s="25"/>
      <c r="P45" s="25"/>
      <c r="Q45" s="25"/>
      <c r="R45" s="25"/>
      <c r="S45" s="28"/>
      <c r="T45" s="25"/>
      <c r="U45" s="25"/>
      <c r="V45" s="25"/>
      <c r="W45" s="25"/>
    </row>
    <row r="46" spans="6:23">
      <c r="G46" s="11">
        <f t="shared" si="6"/>
        <v>15800</v>
      </c>
      <c r="H46" s="11" t="s">
        <v>4777</v>
      </c>
      <c r="I46" s="11">
        <v>248200</v>
      </c>
      <c r="J46" s="11" t="s">
        <v>4786</v>
      </c>
      <c r="M46" s="25"/>
      <c r="N46" s="25"/>
      <c r="O46" s="25"/>
      <c r="P46" s="25"/>
      <c r="Q46" s="25"/>
      <c r="R46" s="25"/>
      <c r="S46" s="25"/>
      <c r="T46" s="25"/>
      <c r="U46" s="25"/>
      <c r="V46" s="25"/>
      <c r="W46" s="25"/>
    </row>
    <row r="47" spans="6:23">
      <c r="G47" s="99">
        <f t="shared" si="6"/>
        <v>7000</v>
      </c>
      <c r="H47" s="99" t="s">
        <v>5197</v>
      </c>
      <c r="I47" s="99">
        <v>257000</v>
      </c>
      <c r="J47" s="99" t="s">
        <v>5231</v>
      </c>
      <c r="M47" s="25"/>
      <c r="N47" s="25"/>
      <c r="O47" s="25"/>
      <c r="P47" s="25"/>
      <c r="Q47" s="25"/>
      <c r="R47" s="25"/>
      <c r="S47" s="25"/>
      <c r="T47" s="25"/>
      <c r="U47" s="25"/>
      <c r="V47" s="25"/>
      <c r="W47" s="25"/>
    </row>
    <row r="48" spans="6:23">
      <c r="G48" s="11"/>
      <c r="H48" s="11"/>
      <c r="I48" s="11">
        <v>264000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
  <sheetViews>
    <sheetView tabSelected="1" zoomScaleNormal="100" workbookViewId="0">
      <selection activeCell="C5" sqref="C5"/>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4891</v>
      </c>
      <c r="B1" s="213" t="s">
        <v>4892</v>
      </c>
      <c r="C1" s="189" t="s">
        <v>5104</v>
      </c>
      <c r="D1" s="189" t="s">
        <v>5075</v>
      </c>
      <c r="E1" s="213" t="s">
        <v>5073</v>
      </c>
      <c r="F1" s="213" t="s">
        <v>5074</v>
      </c>
      <c r="G1" s="213" t="s">
        <v>4902</v>
      </c>
      <c r="H1" s="213" t="s">
        <v>4901</v>
      </c>
      <c r="I1" s="213" t="s">
        <v>4263</v>
      </c>
      <c r="J1" s="56" t="s">
        <v>4995</v>
      </c>
      <c r="M1" t="s">
        <v>4894</v>
      </c>
      <c r="N1" t="s">
        <v>4898</v>
      </c>
      <c r="O1" t="s">
        <v>4899</v>
      </c>
    </row>
    <row r="2" spans="1:20">
      <c r="A2" s="197" t="s">
        <v>4893</v>
      </c>
      <c r="B2" s="197">
        <v>1120643604</v>
      </c>
      <c r="C2" s="189">
        <v>1300</v>
      </c>
      <c r="D2" s="189">
        <f>B2*C2/$M$2</f>
        <v>20.233842849999998</v>
      </c>
      <c r="E2" s="197">
        <v>930</v>
      </c>
      <c r="F2" s="197">
        <f>B2*E2/$M$2</f>
        <v>14.474979885</v>
      </c>
      <c r="G2" s="197"/>
      <c r="H2" s="197"/>
      <c r="I2" s="197">
        <v>12000</v>
      </c>
      <c r="J2" s="197">
        <f>B2*I2/$M$2</f>
        <v>186.773934</v>
      </c>
      <c r="M2">
        <v>72000000000</v>
      </c>
      <c r="N2">
        <v>27308458109</v>
      </c>
      <c r="O2">
        <v>40500000000</v>
      </c>
    </row>
    <row r="3" spans="1:20">
      <c r="A3" s="191" t="s">
        <v>4895</v>
      </c>
      <c r="B3" s="191">
        <v>2605736250</v>
      </c>
      <c r="C3" s="189">
        <v>150</v>
      </c>
      <c r="D3" s="189">
        <f t="shared" ref="D3:D5" si="0">B3*C3/$M$2</f>
        <v>5.4286171875000004</v>
      </c>
      <c r="E3" s="191">
        <v>80</v>
      </c>
      <c r="F3" s="191">
        <f>B3*E3/$M$2</f>
        <v>2.8952624999999999</v>
      </c>
      <c r="G3" s="191"/>
      <c r="H3" s="191"/>
      <c r="I3" s="191">
        <v>3280</v>
      </c>
      <c r="J3" s="191">
        <f>B3*I3/$M$2</f>
        <v>118.70576250000001</v>
      </c>
      <c r="N3">
        <f>N2/O2</f>
        <v>0.67428291627160497</v>
      </c>
    </row>
    <row r="4" spans="1:20">
      <c r="A4" s="191" t="s">
        <v>4896</v>
      </c>
      <c r="B4" s="191">
        <v>560000000</v>
      </c>
      <c r="C4" s="189">
        <v>75</v>
      </c>
      <c r="D4" s="189">
        <f t="shared" si="0"/>
        <v>0.58333333333333337</v>
      </c>
      <c r="E4" s="191">
        <v>25</v>
      </c>
      <c r="F4" s="191">
        <f>B4*E4/$M$2</f>
        <v>0.19444444444444445</v>
      </c>
      <c r="G4" s="191"/>
      <c r="H4" s="191"/>
      <c r="I4" s="191">
        <v>820</v>
      </c>
      <c r="J4" s="191">
        <f>B4*I4/$M$2</f>
        <v>6.3777777777777782</v>
      </c>
    </row>
    <row r="5" spans="1:20">
      <c r="A5" s="191" t="s">
        <v>4897</v>
      </c>
      <c r="B5" s="191">
        <v>30161250</v>
      </c>
      <c r="C5" s="189">
        <v>300</v>
      </c>
      <c r="D5" s="189">
        <f t="shared" si="0"/>
        <v>0.12567187499999999</v>
      </c>
      <c r="E5" s="191">
        <v>170</v>
      </c>
      <c r="F5" s="191">
        <f>B5*E5/$M$2</f>
        <v>7.1214062499999994E-2</v>
      </c>
      <c r="G5" s="191"/>
      <c r="H5" s="191"/>
      <c r="I5" s="191">
        <v>1330</v>
      </c>
      <c r="J5" s="191">
        <f>B5*I5/$M$2</f>
        <v>0.55714531249999999</v>
      </c>
    </row>
    <row r="6" spans="1:20">
      <c r="A6" s="5"/>
      <c r="B6" s="5"/>
      <c r="C6" s="5"/>
      <c r="D6" s="5"/>
      <c r="E6" s="5"/>
      <c r="F6" s="5">
        <f>B6*E6/$M$2</f>
        <v>0</v>
      </c>
      <c r="G6" s="5"/>
      <c r="H6" s="5"/>
      <c r="I6" s="5"/>
      <c r="J6" s="213"/>
    </row>
    <row r="7" spans="1:20">
      <c r="A7" s="197" t="s">
        <v>4893</v>
      </c>
      <c r="B7" s="197">
        <v>1124709340</v>
      </c>
      <c r="C7" s="189">
        <f>C2</f>
        <v>1300</v>
      </c>
      <c r="D7" s="189">
        <f>B7*C7*$N$3/$M$2</f>
        <v>13.692833081292301</v>
      </c>
      <c r="E7" s="197">
        <f>E2</f>
        <v>930</v>
      </c>
      <c r="F7" s="197">
        <f t="shared" ref="F7:F19" si="1">B7*E7*$N$3/$M$2</f>
        <v>9.7956421273860297</v>
      </c>
      <c r="G7" s="197">
        <v>0</v>
      </c>
      <c r="H7" s="197">
        <f t="shared" ref="H7:H19" si="2">B7*G7*$N$3/$M$2</f>
        <v>0</v>
      </c>
      <c r="I7" s="197">
        <f>I2</f>
        <v>12000</v>
      </c>
      <c r="J7" s="197">
        <f>B7*I7*$N$3/$M$2</f>
        <v>126.39538228885202</v>
      </c>
    </row>
    <row r="8" spans="1:20">
      <c r="A8" s="191" t="s">
        <v>4900</v>
      </c>
      <c r="B8" s="191">
        <v>555409765</v>
      </c>
      <c r="C8" s="189">
        <v>300</v>
      </c>
      <c r="D8" s="189">
        <f t="shared" ref="D8:D15" si="3">B8*C8*$N$3/$M$2</f>
        <v>1.5604304836246949</v>
      </c>
      <c r="E8" s="191">
        <v>250</v>
      </c>
      <c r="F8" s="191">
        <f t="shared" si="1"/>
        <v>1.3003587363539126</v>
      </c>
      <c r="G8" s="191">
        <v>300</v>
      </c>
      <c r="H8" s="191">
        <f t="shared" si="2"/>
        <v>1.5604304836246949</v>
      </c>
      <c r="I8" s="191">
        <v>7000</v>
      </c>
      <c r="J8" s="191">
        <f t="shared" ref="J8:J15" si="4">B8*I8*$N$3/$M$2</f>
        <v>36.410044617909556</v>
      </c>
    </row>
    <row r="9" spans="1:20">
      <c r="A9" s="191" t="s">
        <v>4897</v>
      </c>
      <c r="B9" s="191">
        <v>4203087537</v>
      </c>
      <c r="C9" s="189">
        <v>300</v>
      </c>
      <c r="D9" s="189">
        <f t="shared" si="3"/>
        <v>11.808625507471655</v>
      </c>
      <c r="E9" s="191">
        <v>170</v>
      </c>
      <c r="F9" s="191">
        <f t="shared" si="1"/>
        <v>6.6915544542339385</v>
      </c>
      <c r="G9" s="191"/>
      <c r="H9" s="191">
        <f t="shared" si="2"/>
        <v>0</v>
      </c>
      <c r="I9" s="191">
        <f>I5</f>
        <v>1330</v>
      </c>
      <c r="J9" s="191">
        <f t="shared" si="4"/>
        <v>52.351573083124343</v>
      </c>
      <c r="L9" t="s">
        <v>25</v>
      </c>
    </row>
    <row r="10" spans="1:20">
      <c r="A10" s="213" t="s">
        <v>4903</v>
      </c>
      <c r="B10" s="213">
        <v>4123527587</v>
      </c>
      <c r="C10" s="189">
        <v>500</v>
      </c>
      <c r="D10" s="189">
        <f t="shared" si="3"/>
        <v>19.308501435338712</v>
      </c>
      <c r="E10" s="213">
        <v>208</v>
      </c>
      <c r="F10" s="213">
        <f t="shared" si="1"/>
        <v>8.0323365971009029</v>
      </c>
      <c r="G10" s="213"/>
      <c r="H10" s="213">
        <f t="shared" si="2"/>
        <v>0</v>
      </c>
      <c r="I10" s="213">
        <v>5020</v>
      </c>
      <c r="J10" s="213">
        <f t="shared" si="4"/>
        <v>193.85735441080064</v>
      </c>
    </row>
    <row r="11" spans="1:20">
      <c r="A11" s="198" t="s">
        <v>4904</v>
      </c>
      <c r="B11" s="198">
        <v>2635379034</v>
      </c>
      <c r="C11" s="189">
        <v>300</v>
      </c>
      <c r="D11" s="189">
        <f t="shared" si="3"/>
        <v>7.4041294188606885</v>
      </c>
      <c r="E11" s="198">
        <v>0</v>
      </c>
      <c r="F11" s="198">
        <f t="shared" si="1"/>
        <v>0</v>
      </c>
      <c r="G11" s="198"/>
      <c r="H11" s="198">
        <f t="shared" si="2"/>
        <v>0</v>
      </c>
      <c r="I11" s="198">
        <v>2850</v>
      </c>
      <c r="J11" s="198">
        <f t="shared" si="4"/>
        <v>70.339229479176538</v>
      </c>
    </row>
    <row r="12" spans="1:20">
      <c r="A12" s="191" t="s">
        <v>4905</v>
      </c>
      <c r="B12" s="191">
        <v>4858308125</v>
      </c>
      <c r="C12" s="189">
        <v>300</v>
      </c>
      <c r="D12" s="189">
        <f t="shared" si="3"/>
        <v>13.649475711129305</v>
      </c>
      <c r="E12" s="191">
        <v>240</v>
      </c>
      <c r="F12" s="191">
        <f t="shared" si="1"/>
        <v>10.919580568903443</v>
      </c>
      <c r="G12" s="191"/>
      <c r="H12" s="191">
        <f t="shared" si="2"/>
        <v>0</v>
      </c>
      <c r="I12" s="191">
        <v>1440</v>
      </c>
      <c r="J12" s="191">
        <f t="shared" si="4"/>
        <v>65.517483413420663</v>
      </c>
      <c r="O12" t="s">
        <v>4982</v>
      </c>
    </row>
    <row r="13" spans="1:20">
      <c r="A13" s="191" t="s">
        <v>4906</v>
      </c>
      <c r="B13" s="191">
        <v>1630533748</v>
      </c>
      <c r="C13" s="189">
        <v>70</v>
      </c>
      <c r="D13" s="189">
        <f t="shared" si="3"/>
        <v>1.0689010214951349</v>
      </c>
      <c r="E13" s="191">
        <v>60</v>
      </c>
      <c r="F13" s="191">
        <f t="shared" si="1"/>
        <v>0.91620087556725849</v>
      </c>
      <c r="G13" s="191"/>
      <c r="H13" s="191">
        <f t="shared" si="2"/>
        <v>0</v>
      </c>
      <c r="I13" s="191">
        <v>1950</v>
      </c>
      <c r="J13" s="191">
        <f t="shared" si="4"/>
        <v>29.776528455935903</v>
      </c>
      <c r="O13" s="99" t="s">
        <v>180</v>
      </c>
      <c r="P13" s="99" t="s">
        <v>267</v>
      </c>
      <c r="Q13" s="99" t="s">
        <v>4980</v>
      </c>
      <c r="R13" s="99"/>
      <c r="S13" s="96"/>
      <c r="T13" s="96"/>
    </row>
    <row r="14" spans="1:20">
      <c r="A14" s="191" t="s">
        <v>4383</v>
      </c>
      <c r="B14" s="191">
        <v>813533684</v>
      </c>
      <c r="C14" s="189">
        <v>1400</v>
      </c>
      <c r="D14" s="189">
        <f t="shared" si="3"/>
        <v>10.666286262580323</v>
      </c>
      <c r="E14" s="191">
        <v>1460</v>
      </c>
      <c r="F14" s="191">
        <f t="shared" si="1"/>
        <v>11.123412816690907</v>
      </c>
      <c r="G14" s="191"/>
      <c r="H14" s="191">
        <f t="shared" si="2"/>
        <v>0</v>
      </c>
      <c r="I14" s="191">
        <v>13000</v>
      </c>
      <c r="J14" s="191">
        <f>B14*I14*$N$3/$M$2</f>
        <v>99.044086723960149</v>
      </c>
      <c r="L14">
        <f>B12*2.575</f>
        <v>12510143421.875</v>
      </c>
      <c r="O14" s="99" t="s">
        <v>4973</v>
      </c>
      <c r="P14" s="18">
        <v>7500000</v>
      </c>
      <c r="Q14" s="99">
        <v>4</v>
      </c>
      <c r="R14" s="99"/>
      <c r="S14" s="96"/>
      <c r="T14" s="96"/>
    </row>
    <row r="15" spans="1:20">
      <c r="A15" s="191" t="s">
        <v>4907</v>
      </c>
      <c r="B15" s="191">
        <v>236958025</v>
      </c>
      <c r="C15" s="189">
        <v>300</v>
      </c>
      <c r="D15" s="189">
        <f t="shared" si="3"/>
        <v>0.66573645054566621</v>
      </c>
      <c r="E15" s="191">
        <v>270</v>
      </c>
      <c r="F15" s="191">
        <f t="shared" si="1"/>
        <v>0.59916280549109957</v>
      </c>
      <c r="G15" s="191"/>
      <c r="H15" s="191">
        <f t="shared" si="2"/>
        <v>0</v>
      </c>
      <c r="I15" s="191">
        <v>4700</v>
      </c>
      <c r="J15" s="191">
        <f t="shared" si="4"/>
        <v>10.42987105854877</v>
      </c>
      <c r="O15" s="99" t="s">
        <v>4979</v>
      </c>
      <c r="P15" s="18">
        <v>-500000</v>
      </c>
      <c r="Q15" s="99">
        <v>7</v>
      </c>
      <c r="R15" s="99"/>
      <c r="S15" s="96"/>
      <c r="T15" s="96"/>
    </row>
    <row r="16" spans="1:20">
      <c r="A16" s="213"/>
      <c r="B16" s="213"/>
      <c r="C16" s="213"/>
      <c r="D16" s="213"/>
      <c r="E16" s="213"/>
      <c r="F16" s="213">
        <f t="shared" si="1"/>
        <v>0</v>
      </c>
      <c r="G16" s="213"/>
      <c r="H16" s="213">
        <f t="shared" si="2"/>
        <v>0</v>
      </c>
      <c r="I16" s="213"/>
      <c r="J16" s="213">
        <v>222</v>
      </c>
      <c r="K16" t="s">
        <v>5564</v>
      </c>
      <c r="O16" s="99" t="s">
        <v>4988</v>
      </c>
      <c r="P16" s="18">
        <v>-7000000</v>
      </c>
      <c r="Q16" s="99">
        <v>1</v>
      </c>
      <c r="R16" s="99"/>
      <c r="S16" s="96"/>
      <c r="T16" s="96"/>
    </row>
    <row r="17" spans="1:22">
      <c r="A17" s="213"/>
      <c r="B17" s="213"/>
      <c r="C17" s="213"/>
      <c r="D17" s="213" t="s">
        <v>25</v>
      </c>
      <c r="E17" s="213"/>
      <c r="F17" s="213">
        <f t="shared" si="1"/>
        <v>0</v>
      </c>
      <c r="G17" s="213"/>
      <c r="H17" s="213">
        <f t="shared" si="2"/>
        <v>0</v>
      </c>
      <c r="I17" s="213"/>
      <c r="J17" s="213">
        <v>111</v>
      </c>
      <c r="K17" t="s">
        <v>5565</v>
      </c>
      <c r="O17" s="99" t="s">
        <v>4991</v>
      </c>
      <c r="P17" s="18">
        <v>2000000</v>
      </c>
      <c r="Q17" s="99">
        <v>6</v>
      </c>
      <c r="R17" s="99"/>
      <c r="S17" s="96"/>
      <c r="T17" s="96"/>
    </row>
    <row r="18" spans="1:22">
      <c r="A18" s="213"/>
      <c r="B18" s="213"/>
      <c r="C18" s="213"/>
      <c r="D18" s="213"/>
      <c r="E18" s="213"/>
      <c r="F18" s="213">
        <f t="shared" si="1"/>
        <v>0</v>
      </c>
      <c r="G18" s="213"/>
      <c r="H18" s="213">
        <f t="shared" si="2"/>
        <v>0</v>
      </c>
      <c r="I18" s="213"/>
      <c r="J18" s="213">
        <v>200</v>
      </c>
      <c r="K18" t="s">
        <v>5566</v>
      </c>
      <c r="O18" s="99" t="s">
        <v>5006</v>
      </c>
      <c r="P18" s="18">
        <v>1000000</v>
      </c>
      <c r="Q18" s="99">
        <v>3</v>
      </c>
      <c r="R18" s="99"/>
      <c r="S18" s="96"/>
      <c r="T18" s="96"/>
    </row>
    <row r="19" spans="1:22">
      <c r="A19" s="213"/>
      <c r="B19" s="213"/>
      <c r="C19" s="213"/>
      <c r="D19" s="213"/>
      <c r="E19" s="213"/>
      <c r="F19" s="213">
        <f t="shared" si="1"/>
        <v>0</v>
      </c>
      <c r="G19" s="213"/>
      <c r="H19" s="213">
        <f t="shared" si="2"/>
        <v>0</v>
      </c>
      <c r="I19" s="213"/>
      <c r="J19" s="213"/>
      <c r="O19" s="99" t="s">
        <v>5013</v>
      </c>
      <c r="P19" s="18">
        <v>200000</v>
      </c>
      <c r="Q19" s="99">
        <v>3</v>
      </c>
      <c r="R19" s="99"/>
      <c r="S19" s="96"/>
      <c r="T19" s="96"/>
    </row>
    <row r="20" spans="1:22">
      <c r="A20" s="213"/>
      <c r="B20" s="213"/>
      <c r="C20" s="213"/>
      <c r="D20" s="213"/>
      <c r="E20" s="213"/>
      <c r="F20" s="213"/>
      <c r="G20" s="213"/>
      <c r="H20" s="213"/>
      <c r="I20" s="213"/>
      <c r="J20" s="213"/>
      <c r="L20" t="s">
        <v>25</v>
      </c>
      <c r="O20" s="99" t="s">
        <v>5016</v>
      </c>
      <c r="P20" s="18">
        <v>-3200000</v>
      </c>
      <c r="Q20" s="99">
        <v>6</v>
      </c>
      <c r="R20" s="99"/>
      <c r="S20" s="96"/>
      <c r="T20" s="96"/>
    </row>
    <row r="21" spans="1:22">
      <c r="A21" s="213"/>
      <c r="B21" s="213"/>
      <c r="C21" s="213"/>
      <c r="D21" s="213">
        <f>SUM(D2:D15)</f>
        <v>106.19638461817181</v>
      </c>
      <c r="E21" s="213"/>
      <c r="F21" s="213">
        <f>SUM(F2:F15)</f>
        <v>67.01414987367194</v>
      </c>
      <c r="G21" s="213"/>
      <c r="H21" s="213"/>
      <c r="I21" s="213"/>
      <c r="J21" s="213">
        <f>SUM(J2:J19)</f>
        <v>1529.5361731220064</v>
      </c>
      <c r="K21">
        <f>J21*0.8</f>
        <v>1223.6289384976051</v>
      </c>
      <c r="O21" s="99" t="s">
        <v>5028</v>
      </c>
      <c r="P21" s="18">
        <v>6000000</v>
      </c>
      <c r="Q21" s="99">
        <v>1</v>
      </c>
      <c r="R21" s="99"/>
      <c r="S21" s="96"/>
      <c r="T21" s="96"/>
    </row>
    <row r="22" spans="1:22">
      <c r="A22" s="213"/>
      <c r="B22" s="213"/>
      <c r="C22" s="213"/>
      <c r="D22" s="213" t="s">
        <v>6</v>
      </c>
      <c r="E22" s="213"/>
      <c r="F22" s="213" t="s">
        <v>6</v>
      </c>
      <c r="G22" s="213"/>
      <c r="H22" s="213"/>
      <c r="I22" s="213"/>
      <c r="J22" s="213" t="s">
        <v>4471</v>
      </c>
      <c r="O22" s="99" t="s">
        <v>5029</v>
      </c>
      <c r="P22" s="18">
        <v>2000000</v>
      </c>
      <c r="Q22" s="99">
        <v>3</v>
      </c>
      <c r="R22" s="99"/>
      <c r="S22" s="96"/>
      <c r="T22" s="96"/>
    </row>
    <row r="23" spans="1:22">
      <c r="A23" s="213"/>
      <c r="B23" s="213"/>
      <c r="C23" s="213"/>
      <c r="D23" s="213"/>
      <c r="E23" s="213"/>
      <c r="F23" s="213"/>
      <c r="G23" s="213"/>
      <c r="H23" s="213">
        <v>820</v>
      </c>
      <c r="I23" s="213">
        <f>H23/J21</f>
        <v>0.53611023682183367</v>
      </c>
      <c r="J23" s="213"/>
      <c r="O23" s="99" t="s">
        <v>5036</v>
      </c>
      <c r="P23" s="18">
        <v>-50000</v>
      </c>
      <c r="Q23" s="99">
        <v>7</v>
      </c>
      <c r="R23" s="99"/>
      <c r="S23" s="96"/>
      <c r="T23" s="96"/>
    </row>
    <row r="24" spans="1:22">
      <c r="A24" s="213"/>
      <c r="B24" s="213"/>
      <c r="C24" s="213"/>
      <c r="D24" s="213"/>
      <c r="E24" s="213"/>
      <c r="F24" s="213"/>
      <c r="G24" s="213"/>
      <c r="H24" s="213" t="s">
        <v>5102</v>
      </c>
      <c r="I24" s="213" t="s">
        <v>5103</v>
      </c>
      <c r="J24" s="213"/>
      <c r="O24" s="99" t="s">
        <v>5042</v>
      </c>
      <c r="P24" s="18">
        <v>-2480000</v>
      </c>
      <c r="Q24" s="99">
        <v>5</v>
      </c>
      <c r="R24" s="99"/>
      <c r="S24" s="96"/>
      <c r="T24" s="96"/>
      <c r="V24" t="s">
        <v>25</v>
      </c>
    </row>
    <row r="25" spans="1:22">
      <c r="O25" s="99" t="s">
        <v>5050</v>
      </c>
      <c r="P25" s="18">
        <v>300000</v>
      </c>
      <c r="Q25" s="99">
        <v>1</v>
      </c>
      <c r="R25" s="99"/>
      <c r="S25" s="96"/>
      <c r="T25" s="96"/>
    </row>
    <row r="26" spans="1:22">
      <c r="O26" s="99" t="s">
        <v>4227</v>
      </c>
      <c r="P26" s="18">
        <v>300000</v>
      </c>
      <c r="Q26" s="99">
        <v>6</v>
      </c>
      <c r="R26" s="99"/>
      <c r="S26" s="96"/>
      <c r="T26" s="96"/>
    </row>
    <row r="27" spans="1:22">
      <c r="O27" s="99" t="s">
        <v>5059</v>
      </c>
      <c r="P27" s="18">
        <v>500000</v>
      </c>
      <c r="Q27" s="99">
        <v>2</v>
      </c>
      <c r="R27" s="99"/>
      <c r="S27" s="96"/>
      <c r="T27" s="96"/>
    </row>
    <row r="28" spans="1:22">
      <c r="C28" s="96" t="s">
        <v>5172</v>
      </c>
      <c r="D28" s="96" t="s">
        <v>5178</v>
      </c>
      <c r="E28" t="s">
        <v>5179</v>
      </c>
      <c r="F28" t="s">
        <v>5181</v>
      </c>
      <c r="G28" t="s">
        <v>5182</v>
      </c>
      <c r="O28" s="99" t="s">
        <v>5065</v>
      </c>
      <c r="P28" s="18">
        <v>100000</v>
      </c>
      <c r="Q28" s="99">
        <v>1</v>
      </c>
      <c r="R28" s="99"/>
      <c r="S28" s="96"/>
      <c r="T28" s="96"/>
    </row>
    <row r="29" spans="1:22">
      <c r="C29" s="96" t="s">
        <v>5177</v>
      </c>
      <c r="D29" s="96">
        <v>1306</v>
      </c>
      <c r="E29">
        <v>0.53500000000000003</v>
      </c>
      <c r="F29">
        <f>D29*E29*$D$40</f>
        <v>698710000</v>
      </c>
      <c r="G29">
        <f>F29*11400/1000000000</f>
        <v>7965.2939999999999</v>
      </c>
      <c r="J29" t="s">
        <v>25</v>
      </c>
      <c r="O29" s="99" t="s">
        <v>5066</v>
      </c>
      <c r="P29" s="18">
        <v>-6423626</v>
      </c>
      <c r="Q29" s="99">
        <v>1</v>
      </c>
      <c r="R29" s="99"/>
      <c r="S29" s="96"/>
      <c r="T29" s="96"/>
    </row>
    <row r="30" spans="1:22">
      <c r="B30" s="96"/>
      <c r="C30" s="96" t="s">
        <v>5183</v>
      </c>
      <c r="D30" s="96">
        <v>10</v>
      </c>
      <c r="E30" s="96">
        <v>0.5</v>
      </c>
      <c r="F30" s="96">
        <f t="shared" ref="F30:F31" si="5">D30*E30*$D$40</f>
        <v>5000000</v>
      </c>
      <c r="G30" s="96">
        <f t="shared" ref="G30:G35" si="6">F30*11400/1000000000</f>
        <v>57</v>
      </c>
      <c r="O30" s="99" t="s">
        <v>5069</v>
      </c>
      <c r="P30" s="18">
        <v>-4592486</v>
      </c>
      <c r="Q30" s="99">
        <v>0</v>
      </c>
      <c r="R30" s="99"/>
      <c r="S30" s="96"/>
      <c r="T30" s="96"/>
      <c r="V30" t="s">
        <v>25</v>
      </c>
    </row>
    <row r="31" spans="1:22">
      <c r="B31" s="96"/>
      <c r="C31" s="96" t="s">
        <v>5184</v>
      </c>
      <c r="D31" s="96">
        <v>492</v>
      </c>
      <c r="E31" s="96">
        <v>0.65</v>
      </c>
      <c r="F31" s="96">
        <f t="shared" si="5"/>
        <v>319800000</v>
      </c>
      <c r="G31" s="96">
        <f t="shared" si="6"/>
        <v>3645.72</v>
      </c>
      <c r="J31" t="s">
        <v>25</v>
      </c>
      <c r="O31" s="99" t="s">
        <v>5069</v>
      </c>
      <c r="P31" s="18">
        <v>4346112</v>
      </c>
      <c r="Q31" s="99">
        <v>11</v>
      </c>
      <c r="R31" s="99"/>
      <c r="S31" s="96"/>
      <c r="T31" s="96"/>
    </row>
    <row r="32" spans="1:22">
      <c r="B32" s="96"/>
      <c r="C32" s="96" t="s">
        <v>5185</v>
      </c>
      <c r="D32" s="96">
        <v>235</v>
      </c>
      <c r="E32" s="96">
        <v>1</v>
      </c>
      <c r="F32" s="96">
        <f t="shared" ref="F32:F35" si="7">D32*E32*$D$40</f>
        <v>235000000</v>
      </c>
      <c r="G32" s="96">
        <f t="shared" si="6"/>
        <v>2679</v>
      </c>
      <c r="O32" s="99" t="s">
        <v>5086</v>
      </c>
      <c r="P32" s="18">
        <v>1500000</v>
      </c>
      <c r="Q32" s="99">
        <v>16</v>
      </c>
      <c r="R32" s="99"/>
      <c r="S32" s="96"/>
      <c r="T32" s="96"/>
    </row>
    <row r="33" spans="1:22">
      <c r="A33" s="96"/>
      <c r="B33" s="96"/>
      <c r="C33" s="96" t="s">
        <v>5186</v>
      </c>
      <c r="D33" s="96">
        <v>500</v>
      </c>
      <c r="E33" s="96">
        <v>0.6</v>
      </c>
      <c r="F33" s="96">
        <f t="shared" si="7"/>
        <v>300000000</v>
      </c>
      <c r="G33" s="96">
        <f t="shared" si="6"/>
        <v>3420</v>
      </c>
      <c r="O33" s="99" t="s">
        <v>5072</v>
      </c>
      <c r="P33" s="18">
        <v>6000000</v>
      </c>
      <c r="Q33" s="99">
        <v>8</v>
      </c>
      <c r="R33" s="99"/>
      <c r="S33" s="96"/>
      <c r="T33" s="96"/>
    </row>
    <row r="34" spans="1:22">
      <c r="A34" s="96"/>
      <c r="B34" s="96"/>
      <c r="C34" s="96" t="s">
        <v>5187</v>
      </c>
      <c r="D34" s="96">
        <v>903</v>
      </c>
      <c r="E34" s="96">
        <v>1</v>
      </c>
      <c r="F34" s="96">
        <f t="shared" si="7"/>
        <v>903000000</v>
      </c>
      <c r="G34" s="96">
        <f t="shared" si="6"/>
        <v>10294.200000000001</v>
      </c>
      <c r="O34" s="99" t="s">
        <v>5127</v>
      </c>
      <c r="P34" s="18">
        <v>-50000</v>
      </c>
      <c r="Q34" s="99">
        <v>3</v>
      </c>
      <c r="R34" s="99"/>
      <c r="S34" s="96"/>
      <c r="T34" s="96"/>
    </row>
    <row r="35" spans="1:22">
      <c r="A35" s="96"/>
      <c r="B35" s="96"/>
      <c r="E35" s="96"/>
      <c r="F35" s="96">
        <f t="shared" si="7"/>
        <v>0</v>
      </c>
      <c r="G35" s="96">
        <f t="shared" si="6"/>
        <v>0</v>
      </c>
      <c r="O35" s="99" t="s">
        <v>5130</v>
      </c>
      <c r="P35" s="18">
        <v>-20000</v>
      </c>
      <c r="Q35" s="99">
        <v>7</v>
      </c>
      <c r="R35" s="99"/>
      <c r="S35" s="96"/>
      <c r="T35" s="96"/>
    </row>
    <row r="36" spans="1:22">
      <c r="A36" s="96"/>
      <c r="B36" s="96"/>
      <c r="E36" s="96"/>
      <c r="F36" s="96"/>
      <c r="G36" s="96"/>
      <c r="N36" t="s">
        <v>25</v>
      </c>
      <c r="O36" s="99" t="s">
        <v>5088</v>
      </c>
      <c r="P36" s="18">
        <v>6000000</v>
      </c>
      <c r="Q36" s="99">
        <v>1</v>
      </c>
      <c r="R36" s="99"/>
      <c r="S36" s="96"/>
      <c r="T36" s="96"/>
      <c r="V36" t="s">
        <v>25</v>
      </c>
    </row>
    <row r="37" spans="1:22">
      <c r="A37" s="96"/>
      <c r="B37" s="96"/>
      <c r="E37" s="96"/>
      <c r="F37" s="96"/>
      <c r="G37" s="96"/>
      <c r="O37" s="99" t="s">
        <v>5148</v>
      </c>
      <c r="P37" s="18">
        <v>-2302282</v>
      </c>
      <c r="Q37" s="99">
        <v>6</v>
      </c>
      <c r="R37" s="99"/>
      <c r="S37" s="96"/>
      <c r="T37" s="96"/>
    </row>
    <row r="38" spans="1:22">
      <c r="A38" s="96"/>
      <c r="B38" s="96"/>
      <c r="E38" s="96"/>
      <c r="F38" s="96"/>
      <c r="O38" s="99" t="s">
        <v>5154</v>
      </c>
      <c r="P38" s="18">
        <v>100000</v>
      </c>
      <c r="Q38" s="99">
        <v>1</v>
      </c>
      <c r="R38" s="99"/>
      <c r="S38" s="96"/>
      <c r="T38" s="96"/>
    </row>
    <row r="39" spans="1:22">
      <c r="A39" s="96"/>
      <c r="B39" s="96"/>
      <c r="C39" s="96" t="s">
        <v>5173</v>
      </c>
      <c r="D39" s="96" t="s">
        <v>5174</v>
      </c>
      <c r="E39" s="96"/>
      <c r="F39" s="96"/>
      <c r="O39" s="99" t="s">
        <v>5157</v>
      </c>
      <c r="P39" s="18">
        <v>-1727718</v>
      </c>
      <c r="Q39" s="99">
        <v>2</v>
      </c>
      <c r="R39" s="99"/>
      <c r="S39" s="96"/>
      <c r="T39" s="96"/>
      <c r="V39" t="s">
        <v>25</v>
      </c>
    </row>
    <row r="40" spans="1:22">
      <c r="A40" s="96"/>
      <c r="B40" s="96"/>
      <c r="C40" s="96" t="s">
        <v>5180</v>
      </c>
      <c r="D40" s="96">
        <v>1000000</v>
      </c>
      <c r="E40" s="96"/>
      <c r="F40" s="96"/>
      <c r="O40" s="99" t="s">
        <v>5161</v>
      </c>
      <c r="P40" s="18">
        <v>-1000000</v>
      </c>
      <c r="Q40" s="99">
        <v>0</v>
      </c>
      <c r="R40" s="99"/>
      <c r="S40" s="96"/>
      <c r="T40" s="96"/>
    </row>
    <row r="41" spans="1:22">
      <c r="A41" s="96"/>
      <c r="B41" s="96"/>
      <c r="C41" s="96" t="s">
        <v>5175</v>
      </c>
      <c r="D41" s="96" t="s">
        <v>5176</v>
      </c>
      <c r="E41" s="96"/>
      <c r="F41" s="96"/>
      <c r="O41" s="99" t="s">
        <v>5161</v>
      </c>
      <c r="P41" s="18">
        <v>-439200</v>
      </c>
      <c r="Q41" s="99">
        <v>1</v>
      </c>
      <c r="R41" s="99"/>
      <c r="S41" s="96"/>
      <c r="T41" s="96"/>
    </row>
    <row r="42" spans="1:22">
      <c r="A42" s="96"/>
      <c r="B42" s="96"/>
      <c r="E42" s="96"/>
      <c r="F42" s="96"/>
      <c r="O42" s="99" t="s">
        <v>5166</v>
      </c>
      <c r="P42" s="18">
        <v>-3631879</v>
      </c>
      <c r="Q42" s="99">
        <v>3</v>
      </c>
      <c r="R42" s="99"/>
      <c r="S42" s="96"/>
      <c r="T42" s="96"/>
    </row>
    <row r="43" spans="1:22">
      <c r="A43" s="96"/>
      <c r="B43" s="96"/>
      <c r="E43" s="96"/>
      <c r="F43" s="96"/>
      <c r="O43" s="99" t="s">
        <v>5191</v>
      </c>
      <c r="P43" s="18">
        <v>-2428921</v>
      </c>
      <c r="Q43" s="99">
        <v>9</v>
      </c>
      <c r="R43" s="99"/>
      <c r="S43" s="96"/>
      <c r="T43" s="96"/>
    </row>
    <row r="44" spans="1:22">
      <c r="A44" s="96"/>
      <c r="B44" s="96"/>
      <c r="E44" s="96"/>
      <c r="F44" s="96"/>
      <c r="O44" s="99" t="s">
        <v>5212</v>
      </c>
      <c r="P44" s="18">
        <v>-500000</v>
      </c>
      <c r="Q44" s="99">
        <v>1</v>
      </c>
      <c r="R44" s="99"/>
      <c r="S44" s="96"/>
      <c r="T44" s="96"/>
    </row>
    <row r="45" spans="1:22">
      <c r="A45" s="96"/>
      <c r="B45" s="96"/>
      <c r="E45" s="96"/>
      <c r="F45" s="96"/>
      <c r="O45" s="99" t="s">
        <v>5213</v>
      </c>
      <c r="P45" s="18">
        <v>-2603</v>
      </c>
      <c r="Q45" s="99">
        <v>0</v>
      </c>
      <c r="R45" s="99" t="s">
        <v>5214</v>
      </c>
      <c r="S45" s="96"/>
      <c r="T45" s="96"/>
    </row>
    <row r="46" spans="1:22">
      <c r="A46" s="96"/>
      <c r="B46" s="96" t="s">
        <v>4892</v>
      </c>
      <c r="C46" s="96" t="s">
        <v>4263</v>
      </c>
      <c r="D46" s="96" t="s">
        <v>4453</v>
      </c>
      <c r="E46" s="96" t="s">
        <v>5178</v>
      </c>
      <c r="F46" s="96" t="s">
        <v>5542</v>
      </c>
      <c r="O46" s="99" t="s">
        <v>5213</v>
      </c>
      <c r="P46" s="18">
        <v>-250000</v>
      </c>
      <c r="Q46" s="99">
        <v>7</v>
      </c>
      <c r="R46" s="99"/>
      <c r="S46" s="96"/>
      <c r="T46" s="96"/>
    </row>
    <row r="47" spans="1:22">
      <c r="A47" s="96" t="s">
        <v>4903</v>
      </c>
      <c r="B47" s="96">
        <v>6</v>
      </c>
      <c r="C47" s="96">
        <v>4125</v>
      </c>
      <c r="D47" s="96">
        <f>B47*C47</f>
        <v>24750</v>
      </c>
      <c r="E47" s="96">
        <v>3</v>
      </c>
      <c r="F47" s="96">
        <f>D47/E47</f>
        <v>8250</v>
      </c>
      <c r="M47" t="s">
        <v>25</v>
      </c>
      <c r="O47" s="99" t="s">
        <v>4271</v>
      </c>
      <c r="P47" s="18">
        <v>185749</v>
      </c>
      <c r="Q47" s="99">
        <v>5</v>
      </c>
      <c r="R47" s="99"/>
      <c r="S47" s="96"/>
      <c r="T47" s="96"/>
    </row>
    <row r="48" spans="1:22">
      <c r="A48" s="96" t="s">
        <v>4547</v>
      </c>
      <c r="B48" s="96">
        <v>9</v>
      </c>
      <c r="C48" s="96">
        <v>439</v>
      </c>
      <c r="D48" s="96">
        <f>B48*C48</f>
        <v>3951</v>
      </c>
      <c r="E48" s="96">
        <v>1.073</v>
      </c>
      <c r="F48" s="96">
        <f>D48/E48</f>
        <v>3682.1994408201308</v>
      </c>
      <c r="M48" t="s">
        <v>25</v>
      </c>
      <c r="O48" s="99" t="s">
        <v>5229</v>
      </c>
      <c r="P48" s="18">
        <v>300000</v>
      </c>
      <c r="Q48" s="99">
        <v>3</v>
      </c>
      <c r="R48" s="99"/>
      <c r="S48" s="96"/>
      <c r="T48" s="96"/>
    </row>
    <row r="49" spans="1:21">
      <c r="A49" s="96"/>
      <c r="B49" s="96"/>
      <c r="E49" s="96"/>
      <c r="F49" s="96"/>
      <c r="O49" s="99" t="s">
        <v>5236</v>
      </c>
      <c r="P49" s="18">
        <v>-50000</v>
      </c>
      <c r="Q49" s="99">
        <v>3</v>
      </c>
      <c r="R49" s="99"/>
      <c r="S49" s="96"/>
      <c r="T49" s="96"/>
    </row>
    <row r="50" spans="1:21">
      <c r="A50" s="96"/>
      <c r="B50" s="96"/>
      <c r="E50" s="96"/>
      <c r="F50" s="96"/>
      <c r="O50" s="99" t="s">
        <v>5241</v>
      </c>
      <c r="P50" s="18">
        <v>-1683146</v>
      </c>
      <c r="Q50" s="99">
        <v>10</v>
      </c>
      <c r="R50" s="99"/>
      <c r="S50" s="96"/>
      <c r="T50" s="96"/>
    </row>
    <row r="51" spans="1:21">
      <c r="A51" s="96"/>
      <c r="B51" s="96"/>
      <c r="E51" s="96"/>
      <c r="F51" s="96"/>
      <c r="O51" s="99" t="s">
        <v>5255</v>
      </c>
      <c r="P51" s="18">
        <v>700000</v>
      </c>
      <c r="Q51" s="99">
        <v>18</v>
      </c>
      <c r="R51" s="99"/>
      <c r="S51" s="96"/>
      <c r="T51" s="96"/>
    </row>
    <row r="52" spans="1:21">
      <c r="A52" s="96"/>
      <c r="B52" s="96"/>
      <c r="E52" s="96"/>
      <c r="F52" s="96"/>
      <c r="O52" s="99" t="s">
        <v>5270</v>
      </c>
      <c r="P52" s="18">
        <v>-700000</v>
      </c>
      <c r="Q52" s="99">
        <v>46</v>
      </c>
      <c r="R52" s="99"/>
    </row>
    <row r="53" spans="1:21">
      <c r="A53" s="96"/>
      <c r="B53" s="96"/>
      <c r="E53" s="96"/>
      <c r="F53" s="96"/>
      <c r="K53" t="s">
        <v>25</v>
      </c>
      <c r="O53" s="99" t="s">
        <v>5321</v>
      </c>
      <c r="P53" s="18">
        <v>1000000</v>
      </c>
      <c r="Q53" s="99">
        <v>4</v>
      </c>
      <c r="R53" s="99"/>
    </row>
    <row r="54" spans="1:21">
      <c r="A54" s="96"/>
      <c r="B54" s="96"/>
      <c r="E54" s="96"/>
      <c r="F54" s="96"/>
      <c r="O54" s="99" t="s">
        <v>5325</v>
      </c>
      <c r="P54" s="18">
        <v>1500000</v>
      </c>
      <c r="Q54" s="99">
        <v>1</v>
      </c>
      <c r="R54" s="99"/>
    </row>
    <row r="55" spans="1:21">
      <c r="A55" s="96"/>
      <c r="B55" s="96"/>
      <c r="E55" s="96"/>
      <c r="F55" s="96"/>
      <c r="O55" s="99" t="s">
        <v>5326</v>
      </c>
      <c r="P55" s="18">
        <v>-1500000</v>
      </c>
      <c r="Q55" s="99">
        <v>15</v>
      </c>
      <c r="R55" s="99"/>
    </row>
    <row r="56" spans="1:21">
      <c r="A56" s="96"/>
      <c r="B56" s="96"/>
      <c r="E56" s="96"/>
      <c r="F56" s="96"/>
      <c r="O56" s="99" t="s">
        <v>5359</v>
      </c>
      <c r="P56" s="18">
        <v>-100000</v>
      </c>
      <c r="Q56" s="99">
        <v>5</v>
      </c>
      <c r="R56" s="99"/>
    </row>
    <row r="57" spans="1:21">
      <c r="A57" s="96"/>
      <c r="B57" s="96"/>
      <c r="E57" s="96"/>
      <c r="F57" s="96"/>
      <c r="O57" s="99" t="s">
        <v>5365</v>
      </c>
      <c r="P57" s="18">
        <v>1164690</v>
      </c>
      <c r="Q57" s="99">
        <v>4</v>
      </c>
      <c r="R57" s="99"/>
      <c r="S57" t="s">
        <v>25</v>
      </c>
    </row>
    <row r="58" spans="1:21">
      <c r="A58" s="96"/>
      <c r="B58" s="96"/>
      <c r="E58" s="96"/>
      <c r="F58" s="96"/>
      <c r="O58" s="99" t="s">
        <v>5375</v>
      </c>
      <c r="P58" s="18">
        <v>1000000</v>
      </c>
      <c r="Q58" s="99">
        <v>4</v>
      </c>
      <c r="R58" s="99"/>
    </row>
    <row r="59" spans="1:21">
      <c r="A59" s="96"/>
      <c r="B59" s="96"/>
      <c r="E59" s="96"/>
      <c r="F59" s="96"/>
      <c r="O59" s="99" t="s">
        <v>5380</v>
      </c>
      <c r="P59" s="18">
        <v>-264690</v>
      </c>
      <c r="Q59" s="99">
        <v>7</v>
      </c>
      <c r="R59" s="99"/>
    </row>
    <row r="60" spans="1:21">
      <c r="A60" s="96"/>
      <c r="B60" s="96"/>
      <c r="E60" s="96"/>
      <c r="F60" s="96"/>
      <c r="N60" t="s">
        <v>25</v>
      </c>
      <c r="O60" s="99" t="s">
        <v>5400</v>
      </c>
      <c r="P60" s="18">
        <v>2700000</v>
      </c>
      <c r="Q60" s="99">
        <v>0</v>
      </c>
      <c r="R60" s="99"/>
    </row>
    <row r="61" spans="1:21">
      <c r="A61" s="96"/>
      <c r="B61" s="96"/>
      <c r="E61" s="96"/>
      <c r="F61" s="96"/>
      <c r="O61" s="99" t="s">
        <v>5400</v>
      </c>
      <c r="P61" s="18">
        <v>-1000000</v>
      </c>
      <c r="Q61" s="99">
        <v>1</v>
      </c>
      <c r="R61" s="99" t="s">
        <v>5403</v>
      </c>
    </row>
    <row r="62" spans="1:21">
      <c r="A62" s="96"/>
      <c r="B62" s="96"/>
      <c r="E62" s="96"/>
      <c r="F62" s="96"/>
      <c r="O62" s="99" t="s">
        <v>5405</v>
      </c>
      <c r="P62" s="18">
        <v>-75616</v>
      </c>
      <c r="Q62" s="99">
        <v>2</v>
      </c>
      <c r="R62" s="99" t="s">
        <v>5406</v>
      </c>
    </row>
    <row r="63" spans="1:21">
      <c r="A63" s="96"/>
      <c r="B63" s="96"/>
      <c r="E63" s="96"/>
      <c r="F63" s="96"/>
      <c r="O63" s="99" t="s">
        <v>975</v>
      </c>
      <c r="P63" s="18">
        <v>-2424384</v>
      </c>
      <c r="Q63" s="99">
        <v>2</v>
      </c>
      <c r="R63" s="99"/>
      <c r="U63" t="s">
        <v>25</v>
      </c>
    </row>
    <row r="64" spans="1:21">
      <c r="A64" s="96"/>
      <c r="B64" s="96"/>
      <c r="E64" s="96"/>
      <c r="F64" s="96"/>
      <c r="O64" s="99" t="s">
        <v>5420</v>
      </c>
      <c r="P64" s="18">
        <v>-2000000</v>
      </c>
      <c r="Q64" s="99">
        <v>6</v>
      </c>
      <c r="R64" s="99"/>
    </row>
    <row r="65" spans="1:21">
      <c r="A65" s="96"/>
      <c r="B65" s="96"/>
      <c r="E65" s="96"/>
      <c r="F65" s="96"/>
      <c r="O65" s="99" t="s">
        <v>5457</v>
      </c>
      <c r="P65" s="18">
        <v>2500000</v>
      </c>
      <c r="Q65" s="99">
        <v>1</v>
      </c>
      <c r="R65" s="99"/>
    </row>
    <row r="66" spans="1:21">
      <c r="A66" s="96"/>
      <c r="B66" s="96"/>
      <c r="E66" s="96"/>
      <c r="F66" s="96"/>
      <c r="O66" s="99" t="s">
        <v>5460</v>
      </c>
      <c r="P66" s="18">
        <v>3000000</v>
      </c>
      <c r="Q66" s="99">
        <v>3</v>
      </c>
      <c r="R66" s="99"/>
    </row>
    <row r="67" spans="1:21">
      <c r="A67" s="96"/>
      <c r="B67" s="96"/>
      <c r="E67" s="96"/>
      <c r="F67" s="96"/>
      <c r="O67" s="99" t="s">
        <v>5468</v>
      </c>
      <c r="P67" s="18">
        <v>-300000</v>
      </c>
      <c r="Q67" s="99">
        <v>5</v>
      </c>
      <c r="R67" s="99"/>
    </row>
    <row r="68" spans="1:21">
      <c r="A68" s="96"/>
      <c r="B68" s="96"/>
      <c r="E68" s="96"/>
      <c r="F68" s="96"/>
      <c r="O68" s="99" t="s">
        <v>5481</v>
      </c>
      <c r="P68" s="18">
        <v>500000</v>
      </c>
      <c r="Q68" s="99">
        <v>1</v>
      </c>
      <c r="R68" s="99"/>
    </row>
    <row r="69" spans="1:21">
      <c r="A69" s="96"/>
      <c r="B69" s="96"/>
      <c r="E69" s="96"/>
      <c r="F69" s="96"/>
      <c r="O69" s="99" t="s">
        <v>5483</v>
      </c>
      <c r="P69" s="18">
        <v>1000000</v>
      </c>
      <c r="Q69" s="99">
        <v>5</v>
      </c>
      <c r="R69" s="99"/>
    </row>
    <row r="70" spans="1:21">
      <c r="A70" s="96"/>
      <c r="B70" s="96"/>
      <c r="E70" s="96"/>
      <c r="F70" s="96"/>
      <c r="O70" s="99" t="s">
        <v>5489</v>
      </c>
      <c r="P70" s="18">
        <v>-2700000</v>
      </c>
      <c r="Q70" s="99">
        <v>1</v>
      </c>
      <c r="R70" s="99"/>
    </row>
    <row r="71" spans="1:21">
      <c r="A71" s="96"/>
      <c r="B71" s="96"/>
      <c r="E71" s="96"/>
      <c r="F71" s="96"/>
      <c r="M71" t="s">
        <v>25</v>
      </c>
      <c r="O71" s="99" t="s">
        <v>5492</v>
      </c>
      <c r="P71" s="18">
        <v>-3600000</v>
      </c>
      <c r="Q71" s="99">
        <v>1</v>
      </c>
      <c r="R71" s="99"/>
    </row>
    <row r="72" spans="1:21">
      <c r="A72" s="96"/>
      <c r="B72" s="96"/>
      <c r="E72" s="96"/>
      <c r="F72" s="96"/>
      <c r="O72" s="99" t="s">
        <v>999</v>
      </c>
      <c r="P72" s="18">
        <v>-400000</v>
      </c>
      <c r="Q72" s="99">
        <v>17</v>
      </c>
      <c r="R72" s="99"/>
    </row>
    <row r="73" spans="1:21">
      <c r="A73" s="96"/>
      <c r="B73" s="96"/>
      <c r="E73" s="96"/>
      <c r="F73" s="96"/>
      <c r="O73" s="99" t="s">
        <v>5516</v>
      </c>
      <c r="P73" s="18">
        <v>1000000</v>
      </c>
      <c r="Q73" s="99">
        <v>20</v>
      </c>
      <c r="R73" s="99"/>
    </row>
    <row r="74" spans="1:21">
      <c r="A74" s="96"/>
      <c r="B74" s="96"/>
      <c r="E74" s="96"/>
      <c r="F74" s="96"/>
      <c r="O74" s="99" t="s">
        <v>5561</v>
      </c>
      <c r="P74" s="18">
        <v>-1000000</v>
      </c>
      <c r="Q74" s="99">
        <v>1</v>
      </c>
      <c r="R74" s="99"/>
    </row>
    <row r="75" spans="1:21">
      <c r="A75" s="96"/>
      <c r="B75" s="96"/>
      <c r="E75" s="96"/>
      <c r="F75" s="96"/>
      <c r="O75" s="99"/>
      <c r="P75" s="18"/>
      <c r="Q75" s="99"/>
      <c r="R75" s="99"/>
    </row>
    <row r="76" spans="1:21">
      <c r="A76" s="96"/>
      <c r="B76" s="96"/>
      <c r="E76" s="96"/>
      <c r="F76" s="96"/>
      <c r="O76" s="99"/>
      <c r="P76" s="18"/>
      <c r="Q76" s="99"/>
      <c r="R76" s="99"/>
    </row>
    <row r="77" spans="1:21">
      <c r="A77" s="96"/>
      <c r="B77" s="96"/>
      <c r="E77" s="96"/>
      <c r="F77" s="96"/>
      <c r="O77" s="99"/>
      <c r="P77" s="18"/>
      <c r="Q77" s="99"/>
      <c r="R77" s="99"/>
      <c r="U77" t="s">
        <v>25</v>
      </c>
    </row>
    <row r="78" spans="1:21">
      <c r="A78" s="96"/>
      <c r="B78" s="96"/>
      <c r="E78" s="96"/>
      <c r="F78" s="96"/>
      <c r="O78" s="99"/>
      <c r="P78" s="18"/>
      <c r="Q78" s="99"/>
      <c r="R78" s="99"/>
    </row>
    <row r="79" spans="1:21">
      <c r="A79" s="96"/>
      <c r="B79" s="96"/>
      <c r="E79" s="96"/>
      <c r="F79" s="96"/>
      <c r="O79" s="99"/>
      <c r="P79" s="18">
        <f>SUM(P14:P78)</f>
        <v>0</v>
      </c>
      <c r="Q79" s="99"/>
      <c r="R79" s="99"/>
    </row>
    <row r="80" spans="1:21">
      <c r="A80" s="96"/>
      <c r="B80" s="96"/>
      <c r="E80" s="96"/>
      <c r="F80" s="96"/>
      <c r="P80" t="s">
        <v>4981</v>
      </c>
    </row>
    <row r="81" spans="2:18">
      <c r="B81" s="96"/>
      <c r="E81" s="96"/>
      <c r="F81" s="96"/>
    </row>
    <row r="82" spans="2:18">
      <c r="E82" s="96"/>
      <c r="F82" s="96"/>
      <c r="O82" t="s">
        <v>25</v>
      </c>
    </row>
    <row r="83" spans="2:18">
      <c r="E83" s="96"/>
      <c r="F83" s="96"/>
    </row>
    <row r="84" spans="2:18">
      <c r="E84" s="96"/>
      <c r="F84" s="96"/>
      <c r="Q84" t="s">
        <v>25</v>
      </c>
    </row>
    <row r="85" spans="2:18">
      <c r="E85" s="96"/>
      <c r="F85" s="96"/>
      <c r="O85" t="s">
        <v>25</v>
      </c>
      <c r="R85" t="s">
        <v>25</v>
      </c>
    </row>
    <row r="86" spans="2:18">
      <c r="E86" s="96"/>
      <c r="F86" s="96"/>
      <c r="P86" t="s">
        <v>25</v>
      </c>
      <c r="R86" t="s">
        <v>25</v>
      </c>
    </row>
    <row r="87" spans="2:18">
      <c r="R87" t="s">
        <v>25</v>
      </c>
    </row>
    <row r="88" spans="2:18">
      <c r="O88"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4524</v>
      </c>
      <c r="B1" t="s">
        <v>947</v>
      </c>
      <c r="C1" t="s">
        <v>4579</v>
      </c>
      <c r="D1" t="s">
        <v>4873</v>
      </c>
      <c r="E1" t="s">
        <v>4874</v>
      </c>
      <c r="F1" t="s">
        <v>8</v>
      </c>
    </row>
    <row r="2" spans="1:6">
      <c r="A2" t="s">
        <v>4877</v>
      </c>
      <c r="B2">
        <v>237</v>
      </c>
      <c r="C2">
        <v>281</v>
      </c>
      <c r="D2">
        <f>B2/C2</f>
        <v>0.84341637010676151</v>
      </c>
      <c r="E2" t="s">
        <v>4878</v>
      </c>
      <c r="F2" t="s">
        <v>4879</v>
      </c>
    </row>
    <row r="3" spans="1:6">
      <c r="A3" t="s">
        <v>4522</v>
      </c>
      <c r="B3">
        <v>134</v>
      </c>
      <c r="C3">
        <v>193</v>
      </c>
      <c r="D3" s="96">
        <f t="shared" ref="D3:D21" si="0">B3/C3</f>
        <v>0.69430051813471505</v>
      </c>
      <c r="E3" t="s">
        <v>4878</v>
      </c>
      <c r="F3" s="96" t="s">
        <v>4879</v>
      </c>
    </row>
    <row r="4" spans="1:6">
      <c r="A4" t="s">
        <v>4880</v>
      </c>
      <c r="B4">
        <v>195</v>
      </c>
      <c r="C4">
        <v>73</v>
      </c>
      <c r="D4" s="96">
        <f t="shared" si="0"/>
        <v>2.6712328767123288</v>
      </c>
      <c r="E4" t="s">
        <v>4881</v>
      </c>
      <c r="F4" t="s">
        <v>4882</v>
      </c>
    </row>
    <row r="5" spans="1:6">
      <c r="A5" t="s">
        <v>4883</v>
      </c>
      <c r="B5">
        <v>1</v>
      </c>
      <c r="C5">
        <v>1</v>
      </c>
      <c r="D5" s="96">
        <f t="shared" si="0"/>
        <v>1</v>
      </c>
      <c r="E5" t="s">
        <v>4881</v>
      </c>
      <c r="F5" t="s">
        <v>4884</v>
      </c>
    </row>
    <row r="6" spans="1:6">
      <c r="A6" t="s">
        <v>4562</v>
      </c>
      <c r="B6">
        <v>163</v>
      </c>
      <c r="C6">
        <v>232</v>
      </c>
      <c r="D6" s="96">
        <f t="shared" si="0"/>
        <v>0.70258620689655171</v>
      </c>
      <c r="F6" s="96" t="s">
        <v>4879</v>
      </c>
    </row>
    <row r="7" spans="1:6">
      <c r="A7" t="s">
        <v>4885</v>
      </c>
      <c r="B7">
        <v>247</v>
      </c>
      <c r="C7">
        <v>250</v>
      </c>
      <c r="D7" s="96">
        <f t="shared" si="0"/>
        <v>0.98799999999999999</v>
      </c>
    </row>
    <row r="8" spans="1:6">
      <c r="A8" t="s">
        <v>4886</v>
      </c>
      <c r="B8">
        <v>335</v>
      </c>
      <c r="C8">
        <v>141</v>
      </c>
      <c r="D8" s="96">
        <f t="shared" si="0"/>
        <v>2.375886524822695</v>
      </c>
      <c r="F8" s="96" t="s">
        <v>4884</v>
      </c>
    </row>
    <row r="9" spans="1:6">
      <c r="A9" t="s">
        <v>4776</v>
      </c>
      <c r="B9">
        <v>150</v>
      </c>
      <c r="C9">
        <v>240</v>
      </c>
      <c r="D9" s="96">
        <f t="shared" si="0"/>
        <v>0.625</v>
      </c>
      <c r="F9" t="s">
        <v>4887</v>
      </c>
    </row>
    <row r="10" spans="1:6">
      <c r="A10" t="s">
        <v>4888</v>
      </c>
      <c r="B10">
        <v>187</v>
      </c>
      <c r="C10">
        <v>208</v>
      </c>
      <c r="D10" s="96">
        <f t="shared" si="0"/>
        <v>0.89903846153846156</v>
      </c>
      <c r="F10" t="s">
        <v>4878</v>
      </c>
    </row>
    <row r="11" spans="1:6">
      <c r="A11" t="s">
        <v>4889</v>
      </c>
      <c r="B11">
        <v>412</v>
      </c>
      <c r="C11">
        <v>183</v>
      </c>
      <c r="D11" s="96">
        <f t="shared" si="0"/>
        <v>2.2513661202185791</v>
      </c>
      <c r="F11" s="96" t="s">
        <v>4884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4872</v>
      </c>
      <c r="B21">
        <v>113</v>
      </c>
      <c r="C21">
        <v>215</v>
      </c>
      <c r="D21" s="96">
        <f t="shared" si="0"/>
        <v>0.52558139534883719</v>
      </c>
      <c r="E21" t="s">
        <v>4875</v>
      </c>
      <c r="F21" t="s">
        <v>4876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2"/>
  <sheetViews>
    <sheetView topLeftCell="A104" workbookViewId="0">
      <selection activeCell="E128" sqref="E128"/>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4822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4824</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4821</v>
      </c>
      <c r="B4" s="18">
        <v>-960200</v>
      </c>
      <c r="C4" s="18">
        <v>0</v>
      </c>
      <c r="D4" s="113">
        <f t="shared" si="0"/>
        <v>-960200</v>
      </c>
      <c r="E4" s="99" t="s">
        <v>4825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4737</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4737</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4737</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4745</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4745</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4745</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4749</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4750</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4750</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4755</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4755</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4766</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4789</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4794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4797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4797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4797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4800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4800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4805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4814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4814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4814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4826</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4823</v>
      </c>
      <c r="F42" s="96"/>
      <c r="G42" s="96"/>
      <c r="H42" s="96"/>
      <c r="I42" s="96"/>
      <c r="J42" s="96"/>
      <c r="K42" s="96"/>
      <c r="L42" s="96"/>
      <c r="M42" s="96"/>
      <c r="N42" s="96"/>
      <c r="O42" s="96"/>
      <c r="P42" s="96"/>
      <c r="Q42" s="96"/>
      <c r="R42" s="96"/>
      <c r="S42" s="96"/>
      <c r="T42" s="96"/>
      <c r="U42" s="96"/>
    </row>
    <row r="43" spans="1:21">
      <c r="A43" s="96"/>
      <c r="B43" s="96"/>
      <c r="C43" s="96"/>
      <c r="D43" s="18">
        <v>252830</v>
      </c>
      <c r="E43" s="122" t="s">
        <v>4828</v>
      </c>
      <c r="F43" s="96"/>
      <c r="G43" s="96"/>
      <c r="H43" s="96"/>
      <c r="I43" s="96"/>
      <c r="J43" s="96"/>
      <c r="K43" s="96"/>
      <c r="L43" s="96"/>
      <c r="M43" s="96"/>
      <c r="N43" s="96"/>
      <c r="O43" s="96"/>
      <c r="P43" s="96"/>
      <c r="Q43" s="96"/>
      <c r="R43" s="96"/>
      <c r="S43" s="96"/>
      <c r="T43" s="96"/>
      <c r="U43" s="96"/>
    </row>
    <row r="44" spans="1:21">
      <c r="A44" s="96"/>
      <c r="B44" s="96"/>
      <c r="C44" s="96"/>
      <c r="D44" s="18">
        <v>178820</v>
      </c>
      <c r="E44" s="122" t="s">
        <v>4832</v>
      </c>
      <c r="F44" s="96"/>
      <c r="G44" s="96"/>
      <c r="H44" s="96"/>
      <c r="I44" s="96"/>
      <c r="J44" s="96"/>
      <c r="K44" s="96"/>
      <c r="L44" s="96"/>
      <c r="M44" s="96"/>
      <c r="N44" s="96"/>
      <c r="O44" s="96"/>
      <c r="P44" s="96"/>
      <c r="Q44" s="96"/>
      <c r="R44" s="96"/>
      <c r="S44" s="96"/>
      <c r="T44" s="96"/>
      <c r="U44" s="96"/>
    </row>
    <row r="45" spans="1:21">
      <c r="A45" s="96"/>
      <c r="B45" s="96"/>
      <c r="C45" s="96"/>
      <c r="D45" s="18">
        <v>382000</v>
      </c>
      <c r="E45" s="122" t="s">
        <v>4839</v>
      </c>
      <c r="F45" s="96"/>
      <c r="G45" s="96"/>
      <c r="H45" s="96"/>
      <c r="I45" s="96"/>
      <c r="J45" s="96"/>
      <c r="K45" s="96"/>
      <c r="L45" s="96"/>
      <c r="M45" s="96"/>
      <c r="N45" s="96"/>
      <c r="O45" s="96"/>
      <c r="P45" s="96"/>
      <c r="Q45" s="96"/>
      <c r="R45" s="96"/>
      <c r="S45" s="96"/>
      <c r="T45" s="96"/>
      <c r="U45" s="96"/>
    </row>
    <row r="46" spans="1:21">
      <c r="A46" s="96"/>
      <c r="B46" s="96"/>
      <c r="C46" s="96"/>
      <c r="D46" s="18">
        <v>-200000</v>
      </c>
      <c r="E46" s="122" t="s">
        <v>4840</v>
      </c>
      <c r="F46" s="96"/>
      <c r="G46" s="96"/>
      <c r="H46" s="96"/>
      <c r="I46" s="96"/>
      <c r="J46" s="96"/>
      <c r="K46" s="96"/>
      <c r="L46" s="96"/>
      <c r="M46" s="96"/>
      <c r="N46" s="96"/>
      <c r="O46" s="96"/>
      <c r="P46" s="96"/>
      <c r="Q46" s="96"/>
      <c r="R46" s="96"/>
      <c r="S46" s="96"/>
      <c r="T46" s="96"/>
      <c r="U46" s="96"/>
    </row>
    <row r="47" spans="1:21">
      <c r="A47" s="96"/>
      <c r="B47" s="96"/>
      <c r="C47" s="96"/>
      <c r="D47" s="18">
        <v>-2336075</v>
      </c>
      <c r="E47" s="122" t="s">
        <v>4843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4846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4854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4856</v>
      </c>
      <c r="F50" s="96"/>
      <c r="G50" s="96"/>
      <c r="H50" s="96"/>
      <c r="I50" s="96"/>
      <c r="J50" s="96"/>
      <c r="K50" s="96"/>
      <c r="L50" s="96"/>
      <c r="M50" s="96"/>
      <c r="N50" s="96"/>
      <c r="O50" s="96"/>
      <c r="P50" s="96"/>
      <c r="Q50" s="96"/>
      <c r="R50" s="96"/>
      <c r="S50" s="96"/>
      <c r="T50" s="96"/>
      <c r="U50" s="96"/>
    </row>
    <row r="51" spans="1:21">
      <c r="A51" s="96"/>
      <c r="B51" s="96"/>
      <c r="C51" s="96"/>
      <c r="D51" s="18">
        <v>-40000</v>
      </c>
      <c r="E51" s="122" t="s">
        <v>4857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4868</v>
      </c>
      <c r="F52" s="96"/>
      <c r="G52" s="96"/>
      <c r="H52" s="96"/>
      <c r="I52" s="96"/>
      <c r="J52" s="96"/>
      <c r="K52" s="96"/>
      <c r="L52" s="96"/>
      <c r="M52" s="96"/>
      <c r="N52" s="96"/>
      <c r="O52" s="96"/>
      <c r="P52" s="96"/>
      <c r="Q52" s="96"/>
      <c r="R52" s="96"/>
      <c r="S52" s="96"/>
      <c r="T52" s="96"/>
      <c r="U52" s="96"/>
    </row>
    <row r="53" spans="1:21">
      <c r="A53" s="96"/>
      <c r="B53" s="96"/>
      <c r="C53" s="96"/>
      <c r="D53" s="18">
        <v>160000</v>
      </c>
      <c r="E53" s="122" t="s">
        <v>4871</v>
      </c>
      <c r="F53" s="96"/>
      <c r="G53" s="96"/>
      <c r="H53" s="96"/>
      <c r="I53" s="96"/>
      <c r="J53" s="96"/>
      <c r="K53" s="96"/>
      <c r="L53" s="96"/>
      <c r="M53" s="96"/>
      <c r="N53" s="96"/>
      <c r="O53" s="96"/>
      <c r="P53" s="96"/>
      <c r="Q53" s="96"/>
      <c r="R53" s="96"/>
      <c r="S53" s="96"/>
      <c r="T53" s="96"/>
      <c r="U53" s="96"/>
    </row>
    <row r="54" spans="1:21">
      <c r="A54" s="96"/>
      <c r="B54" s="96"/>
      <c r="C54" s="96"/>
      <c r="D54" s="18">
        <v>-224012</v>
      </c>
      <c r="E54" s="122" t="s">
        <v>4908</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4909</v>
      </c>
      <c r="F55" s="114"/>
      <c r="G55" s="41"/>
      <c r="H55" s="96"/>
      <c r="I55" s="96"/>
      <c r="J55" s="96"/>
      <c r="K55" s="96"/>
      <c r="L55" s="96"/>
      <c r="M55" s="96"/>
      <c r="N55" s="96"/>
      <c r="O55" s="96"/>
      <c r="P55" s="96"/>
      <c r="Q55" s="96"/>
      <c r="R55" s="96"/>
      <c r="S55" s="96"/>
      <c r="T55" s="96"/>
      <c r="U55" s="96"/>
    </row>
    <row r="56" spans="1:21">
      <c r="A56" s="96"/>
      <c r="B56" s="96"/>
      <c r="C56" s="96"/>
      <c r="D56" s="18">
        <v>1465000</v>
      </c>
      <c r="E56" s="122" t="s">
        <v>4917</v>
      </c>
      <c r="F56" s="114"/>
      <c r="G56" s="41"/>
      <c r="H56" s="96"/>
      <c r="I56" s="96"/>
      <c r="J56" s="96"/>
      <c r="K56" s="96"/>
      <c r="L56" s="96"/>
      <c r="M56" s="96"/>
      <c r="N56" s="96"/>
      <c r="O56" s="96"/>
      <c r="P56" s="96"/>
      <c r="Q56" s="96"/>
      <c r="R56" s="96"/>
      <c r="S56" s="96"/>
      <c r="T56" s="96"/>
      <c r="U56" s="96"/>
    </row>
    <row r="57" spans="1:21">
      <c r="A57" s="96"/>
      <c r="B57" s="96"/>
      <c r="C57" s="96"/>
      <c r="D57" s="18">
        <v>2600000</v>
      </c>
      <c r="E57" s="122" t="s">
        <v>4953</v>
      </c>
      <c r="F57" s="114"/>
      <c r="G57" s="41"/>
      <c r="H57" s="96"/>
      <c r="I57" s="96"/>
      <c r="J57" s="96"/>
      <c r="K57" s="96"/>
      <c r="L57" s="96"/>
      <c r="M57" s="96"/>
      <c r="N57" s="96"/>
      <c r="O57" s="96"/>
      <c r="P57" s="96"/>
      <c r="Q57" s="96"/>
      <c r="R57" s="96"/>
      <c r="S57" s="96"/>
      <c r="T57" s="96"/>
      <c r="U57" s="96"/>
    </row>
    <row r="58" spans="1:21">
      <c r="A58" s="96"/>
      <c r="B58" s="96"/>
      <c r="C58" s="96"/>
      <c r="D58" s="18">
        <v>-1170000</v>
      </c>
      <c r="E58" s="122" t="s">
        <v>4962</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4961</v>
      </c>
      <c r="F59" s="114"/>
      <c r="G59" s="96"/>
      <c r="H59" s="96"/>
      <c r="I59" s="96"/>
      <c r="J59" s="96"/>
      <c r="K59" s="96"/>
      <c r="L59" s="96"/>
      <c r="M59" s="96"/>
      <c r="N59" s="96"/>
      <c r="O59" s="96"/>
      <c r="P59" s="96"/>
      <c r="Q59" s="96"/>
      <c r="R59" s="96"/>
      <c r="S59" s="96"/>
      <c r="T59" s="96"/>
      <c r="U59" s="96"/>
    </row>
    <row r="60" spans="1:21">
      <c r="A60" s="96"/>
      <c r="B60" s="96"/>
      <c r="C60" s="96"/>
      <c r="D60" s="18">
        <v>360000</v>
      </c>
      <c r="E60" s="122" t="s">
        <v>4970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1" t="s">
        <v>4989</v>
      </c>
      <c r="F61" s="96"/>
      <c r="G61" s="96"/>
      <c r="H61" s="96"/>
      <c r="I61" s="96"/>
      <c r="J61" s="96"/>
      <c r="K61" s="96"/>
      <c r="L61" s="96"/>
      <c r="M61" s="96"/>
      <c r="N61" s="96"/>
      <c r="O61" s="96"/>
      <c r="P61" s="96"/>
      <c r="Q61" s="96"/>
      <c r="R61" s="96"/>
      <c r="S61" s="96"/>
      <c r="T61" s="96"/>
      <c r="U61" s="96"/>
    </row>
    <row r="62" spans="1:21">
      <c r="A62" s="96"/>
      <c r="B62" s="96"/>
      <c r="C62" s="96"/>
      <c r="D62" s="18">
        <v>-550000</v>
      </c>
      <c r="E62" s="251" t="s">
        <v>4992</v>
      </c>
      <c r="F62" s="96"/>
      <c r="G62" s="96"/>
      <c r="H62" s="96"/>
      <c r="I62" s="96"/>
      <c r="J62" s="96"/>
      <c r="K62" s="96"/>
      <c r="L62" s="96"/>
      <c r="M62" s="96"/>
      <c r="N62" s="96"/>
      <c r="O62" s="96"/>
      <c r="P62" s="96"/>
      <c r="Q62" s="96"/>
      <c r="R62" s="96"/>
      <c r="S62" s="96"/>
      <c r="T62" s="96"/>
      <c r="U62" s="96"/>
    </row>
    <row r="63" spans="1:21">
      <c r="A63" s="96"/>
      <c r="B63" s="96"/>
      <c r="C63" s="96"/>
      <c r="D63" s="18">
        <v>-850000</v>
      </c>
      <c r="E63" s="251" t="s">
        <v>4998</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1" t="s">
        <v>5002</v>
      </c>
      <c r="F64" s="96"/>
      <c r="G64" s="96"/>
      <c r="H64" s="96" t="s">
        <v>25</v>
      </c>
      <c r="I64" s="96"/>
      <c r="J64" s="96"/>
      <c r="K64" s="96"/>
      <c r="L64" s="96"/>
      <c r="M64" s="96"/>
      <c r="N64" s="96"/>
      <c r="O64" s="96"/>
      <c r="P64" s="96"/>
      <c r="Q64" s="96"/>
      <c r="R64" s="96"/>
      <c r="S64" s="96"/>
      <c r="T64" s="96"/>
      <c r="U64" s="96"/>
    </row>
    <row r="65" spans="1:21">
      <c r="A65" s="96"/>
      <c r="B65" s="96"/>
      <c r="C65" s="96"/>
      <c r="D65" s="18">
        <v>300000</v>
      </c>
      <c r="E65" s="251" t="s">
        <v>5007</v>
      </c>
      <c r="F65" s="96"/>
      <c r="G65" s="96"/>
      <c r="H65" s="96"/>
      <c r="I65" s="96"/>
      <c r="J65" s="96"/>
      <c r="K65" s="96"/>
      <c r="L65" s="96"/>
      <c r="M65" s="96"/>
      <c r="N65" s="96"/>
      <c r="O65" s="96"/>
      <c r="P65" s="96"/>
      <c r="Q65" s="96"/>
      <c r="R65" s="96"/>
      <c r="S65" s="96"/>
      <c r="T65" s="96"/>
      <c r="U65" s="96"/>
    </row>
    <row r="66" spans="1:21">
      <c r="A66" s="96"/>
      <c r="B66" s="96"/>
      <c r="C66" s="96"/>
      <c r="D66" s="18">
        <v>-2290500</v>
      </c>
      <c r="E66" s="251" t="s">
        <v>5008</v>
      </c>
      <c r="F66" s="96"/>
      <c r="G66" s="96"/>
      <c r="H66" s="96"/>
      <c r="I66" s="96"/>
      <c r="J66" s="96"/>
      <c r="K66" s="96"/>
      <c r="L66" s="96"/>
      <c r="M66" s="96"/>
      <c r="N66" s="96"/>
      <c r="O66" s="96"/>
      <c r="P66" s="96"/>
      <c r="Q66" s="96"/>
      <c r="R66" s="96"/>
      <c r="S66" s="96"/>
      <c r="T66" s="96"/>
      <c r="U66" s="96"/>
    </row>
    <row r="67" spans="1:21">
      <c r="A67" s="96"/>
      <c r="B67" s="96"/>
      <c r="C67" s="96"/>
      <c r="D67" s="18">
        <v>1700000</v>
      </c>
      <c r="E67" s="251" t="s">
        <v>5015</v>
      </c>
      <c r="F67" s="96"/>
      <c r="G67" s="96"/>
      <c r="H67" s="96"/>
      <c r="I67" s="96"/>
      <c r="J67" s="96"/>
      <c r="K67" s="96"/>
      <c r="L67" s="96"/>
      <c r="M67" s="96"/>
      <c r="N67" s="96"/>
      <c r="O67" s="96"/>
      <c r="P67" s="96"/>
      <c r="Q67" s="96"/>
      <c r="R67" s="96"/>
      <c r="S67" s="96"/>
      <c r="T67" s="96"/>
      <c r="U67" s="96"/>
    </row>
    <row r="68" spans="1:21">
      <c r="A68" s="96"/>
      <c r="B68" s="96"/>
      <c r="C68" s="96"/>
      <c r="D68" s="18">
        <v>-150000</v>
      </c>
      <c r="E68" s="251" t="s">
        <v>5020</v>
      </c>
      <c r="F68" s="96"/>
      <c r="G68" s="96"/>
      <c r="H68" s="96"/>
      <c r="I68" s="96"/>
      <c r="J68" s="96"/>
      <c r="K68" s="96"/>
      <c r="L68" s="96"/>
      <c r="M68" s="96"/>
      <c r="N68" s="96"/>
      <c r="O68" s="96"/>
      <c r="P68" s="96"/>
      <c r="Q68" s="96"/>
      <c r="R68" s="96"/>
      <c r="S68" s="96"/>
      <c r="T68" s="96"/>
      <c r="U68" s="96"/>
    </row>
    <row r="69" spans="1:21">
      <c r="A69" s="96"/>
      <c r="B69" s="96"/>
      <c r="C69" s="96"/>
      <c r="D69" s="18">
        <v>-550000</v>
      </c>
      <c r="E69" s="251" t="s">
        <v>5023</v>
      </c>
      <c r="F69" s="96"/>
      <c r="G69" s="96" t="s">
        <v>25</v>
      </c>
      <c r="H69" s="96"/>
      <c r="I69" s="96"/>
      <c r="J69" s="96"/>
      <c r="K69" s="96"/>
      <c r="L69" s="96"/>
      <c r="M69" s="96"/>
      <c r="N69" s="96"/>
      <c r="O69" s="96"/>
      <c r="P69" s="96"/>
      <c r="Q69" s="96"/>
      <c r="R69" s="96"/>
      <c r="S69" s="96"/>
      <c r="T69" s="96"/>
      <c r="U69" s="96"/>
    </row>
    <row r="70" spans="1:21">
      <c r="A70" s="96"/>
      <c r="B70" s="96"/>
      <c r="C70" s="96"/>
      <c r="D70" s="18">
        <v>13350000</v>
      </c>
      <c r="E70" s="251" t="s">
        <v>5041</v>
      </c>
      <c r="F70" s="96"/>
      <c r="G70" s="96" t="s">
        <v>25</v>
      </c>
      <c r="H70" s="96"/>
      <c r="I70" s="96"/>
      <c r="J70" s="96"/>
      <c r="K70" s="96"/>
      <c r="L70" s="96"/>
      <c r="M70" s="96"/>
      <c r="N70" s="96"/>
      <c r="O70" s="96"/>
      <c r="P70" s="96"/>
      <c r="Q70" s="96"/>
      <c r="R70" s="96"/>
      <c r="S70" s="96"/>
      <c r="T70" s="96"/>
      <c r="U70" s="96"/>
    </row>
    <row r="71" spans="1:21">
      <c r="A71" s="96"/>
      <c r="B71" s="96"/>
      <c r="C71" s="96"/>
      <c r="D71" s="18">
        <v>-200000</v>
      </c>
      <c r="E71" s="251" t="s">
        <v>5055</v>
      </c>
      <c r="F71" s="96"/>
      <c r="G71" s="96"/>
      <c r="H71" s="96"/>
      <c r="I71" s="96"/>
      <c r="J71" s="96"/>
      <c r="K71" s="96"/>
      <c r="L71" s="96"/>
      <c r="M71" s="96"/>
      <c r="N71" s="96"/>
      <c r="O71" s="96"/>
      <c r="P71" s="96"/>
      <c r="Q71" s="96"/>
      <c r="R71" s="96"/>
      <c r="S71" s="96"/>
      <c r="T71" s="96"/>
      <c r="U71" s="96"/>
    </row>
    <row r="72" spans="1:21">
      <c r="A72" s="96"/>
      <c r="B72" s="96"/>
      <c r="C72" s="96"/>
      <c r="D72" s="18">
        <v>1500000</v>
      </c>
      <c r="E72" s="251" t="s">
        <v>5056</v>
      </c>
      <c r="F72" s="96"/>
      <c r="G72" s="96"/>
      <c r="H72" s="96"/>
      <c r="I72" s="96"/>
      <c r="J72" s="96"/>
      <c r="K72" s="96"/>
      <c r="L72" s="96"/>
      <c r="M72" s="96"/>
      <c r="N72" s="96"/>
      <c r="O72" s="96"/>
      <c r="P72" s="96"/>
      <c r="Q72" s="96"/>
      <c r="R72" s="96"/>
      <c r="S72" s="96"/>
      <c r="T72" s="96"/>
      <c r="U72" s="96"/>
    </row>
    <row r="73" spans="1:21">
      <c r="A73" s="96"/>
      <c r="B73" s="96"/>
      <c r="C73" s="96"/>
      <c r="D73" s="18">
        <v>-550000</v>
      </c>
      <c r="E73" s="251" t="s">
        <v>5060</v>
      </c>
      <c r="F73" s="96"/>
      <c r="G73" s="96"/>
      <c r="H73" s="96"/>
      <c r="I73" s="96"/>
      <c r="J73" s="96"/>
      <c r="K73" s="96"/>
      <c r="L73" s="96"/>
      <c r="M73" s="96"/>
      <c r="N73" s="96"/>
      <c r="O73" s="96"/>
      <c r="P73" s="96"/>
      <c r="Q73" s="96"/>
      <c r="R73" s="96"/>
      <c r="S73" s="96"/>
      <c r="T73" s="96"/>
      <c r="U73" s="96"/>
    </row>
    <row r="74" spans="1:21">
      <c r="A74" s="96"/>
      <c r="B74" s="96"/>
      <c r="C74" s="96"/>
      <c r="D74" s="18">
        <v>-50000</v>
      </c>
      <c r="E74" s="251" t="s">
        <v>5061</v>
      </c>
      <c r="F74" s="96"/>
      <c r="G74" s="96"/>
      <c r="H74" s="96"/>
      <c r="I74" s="96"/>
      <c r="J74" s="96"/>
      <c r="K74" s="96"/>
      <c r="L74" s="96"/>
      <c r="M74" s="96"/>
      <c r="N74" s="96"/>
      <c r="O74" s="96"/>
      <c r="P74" s="96"/>
      <c r="Q74" s="96"/>
      <c r="R74" s="96"/>
      <c r="S74" s="96"/>
      <c r="T74" s="96"/>
      <c r="U74" s="96"/>
    </row>
    <row r="75" spans="1:21">
      <c r="A75" s="96"/>
      <c r="B75" s="96"/>
      <c r="C75" s="96"/>
      <c r="D75" s="18">
        <v>-60000</v>
      </c>
      <c r="E75" s="251" t="s">
        <v>5062</v>
      </c>
      <c r="F75" s="96"/>
      <c r="G75" s="96"/>
      <c r="H75" s="96"/>
      <c r="I75" s="96"/>
      <c r="J75" s="96"/>
      <c r="K75" s="96"/>
      <c r="L75" s="96"/>
      <c r="M75" s="96"/>
      <c r="N75" s="96"/>
      <c r="O75" s="96"/>
      <c r="P75" s="96"/>
      <c r="Q75" s="96"/>
      <c r="R75" s="96"/>
      <c r="S75" s="96"/>
      <c r="T75" s="96"/>
      <c r="U75" s="96"/>
    </row>
    <row r="76" spans="1:21">
      <c r="A76" s="96"/>
      <c r="B76" s="96"/>
      <c r="C76" s="96"/>
      <c r="D76" s="18">
        <v>-43000</v>
      </c>
      <c r="E76" s="251" t="s">
        <v>5070</v>
      </c>
      <c r="F76" s="96"/>
      <c r="G76" s="96"/>
      <c r="H76" s="96"/>
      <c r="I76" s="96" t="s">
        <v>25</v>
      </c>
      <c r="J76" s="96"/>
      <c r="K76" s="96"/>
      <c r="L76" s="96"/>
      <c r="M76" s="96"/>
      <c r="N76" s="96"/>
      <c r="O76" s="96"/>
      <c r="P76" s="96"/>
      <c r="Q76" s="96"/>
      <c r="R76" s="96"/>
      <c r="S76" s="96"/>
      <c r="T76" s="96"/>
      <c r="U76" s="96"/>
    </row>
    <row r="77" spans="1:21">
      <c r="A77" s="96"/>
      <c r="B77" s="96"/>
      <c r="C77" s="96"/>
      <c r="D77" s="18">
        <v>-320000</v>
      </c>
      <c r="E77" s="251" t="s">
        <v>5080</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1" t="s">
        <v>5081</v>
      </c>
      <c r="F78" s="96"/>
      <c r="G78" s="96"/>
      <c r="H78" s="96"/>
      <c r="I78" s="96"/>
      <c r="J78" s="96"/>
      <c r="K78" s="96"/>
      <c r="L78" s="96"/>
      <c r="M78" s="96"/>
      <c r="N78" s="96"/>
      <c r="O78" s="96"/>
      <c r="P78" s="96"/>
      <c r="Q78" s="96"/>
      <c r="R78" s="96"/>
      <c r="S78" s="96"/>
      <c r="T78" s="96"/>
      <c r="U78" s="96"/>
    </row>
    <row r="79" spans="1:21">
      <c r="A79" s="96"/>
      <c r="B79" s="96"/>
      <c r="C79" s="96"/>
      <c r="D79" s="18">
        <v>-750000</v>
      </c>
      <c r="E79" s="251" t="s">
        <v>5087</v>
      </c>
      <c r="F79" s="96"/>
      <c r="G79" s="96"/>
      <c r="H79" s="96"/>
      <c r="I79" s="96"/>
      <c r="J79" s="96"/>
      <c r="K79" s="96"/>
      <c r="L79" s="96"/>
      <c r="M79" s="96"/>
      <c r="N79" s="96"/>
      <c r="O79" s="96"/>
      <c r="P79" s="96"/>
      <c r="Q79" s="96"/>
      <c r="R79" s="96"/>
      <c r="S79" s="96"/>
      <c r="T79" s="96"/>
      <c r="U79" s="96"/>
    </row>
    <row r="80" spans="1:21">
      <c r="A80" s="96"/>
      <c r="B80" s="96"/>
      <c r="C80" s="96"/>
      <c r="D80" s="18">
        <v>50000</v>
      </c>
      <c r="E80" s="251" t="s">
        <v>5099</v>
      </c>
      <c r="F80" s="96"/>
      <c r="G80" s="96"/>
      <c r="H80" s="96"/>
      <c r="I80" s="96"/>
      <c r="J80" s="96"/>
      <c r="K80" s="96"/>
      <c r="L80" s="96"/>
      <c r="M80" s="96"/>
      <c r="N80" s="96"/>
      <c r="O80" s="96"/>
      <c r="P80" s="96"/>
      <c r="Q80" s="96"/>
      <c r="R80" s="96"/>
      <c r="S80" s="96"/>
      <c r="T80" s="96"/>
      <c r="U80" s="96"/>
    </row>
    <row r="81" spans="1:21">
      <c r="A81" s="96"/>
      <c r="B81" s="96"/>
      <c r="C81" s="96"/>
      <c r="D81" s="18">
        <v>500000</v>
      </c>
      <c r="E81" s="251" t="s">
        <v>5113</v>
      </c>
      <c r="F81" s="96"/>
      <c r="G81" s="96"/>
      <c r="H81" s="96"/>
      <c r="I81" s="96"/>
      <c r="J81" s="96"/>
      <c r="K81" s="96"/>
      <c r="L81" s="96"/>
      <c r="M81" s="96"/>
      <c r="N81" s="96"/>
      <c r="O81" s="96"/>
      <c r="P81" s="96"/>
      <c r="Q81" s="96"/>
      <c r="R81" s="96"/>
      <c r="S81" s="96"/>
      <c r="T81" s="96"/>
      <c r="U81" s="96"/>
    </row>
    <row r="82" spans="1:21">
      <c r="A82" s="96"/>
      <c r="B82" s="96"/>
      <c r="C82" s="96"/>
      <c r="D82" s="18">
        <v>1500000</v>
      </c>
      <c r="E82" s="251" t="s">
        <v>5112</v>
      </c>
      <c r="F82" s="96"/>
      <c r="G82" s="96"/>
      <c r="H82" s="96"/>
      <c r="I82" s="96"/>
      <c r="J82" s="96"/>
      <c r="K82" s="96"/>
      <c r="L82" s="96"/>
      <c r="M82" s="96"/>
      <c r="N82" s="96"/>
      <c r="O82" s="96"/>
      <c r="P82" s="96"/>
      <c r="Q82" s="96"/>
      <c r="R82" s="96"/>
      <c r="S82" s="96"/>
      <c r="T82" s="96"/>
      <c r="U82" s="96"/>
    </row>
    <row r="83" spans="1:21">
      <c r="D83" s="18">
        <v>-510000</v>
      </c>
      <c r="E83" s="251" t="s">
        <v>5114</v>
      </c>
      <c r="H83" t="s">
        <v>25</v>
      </c>
    </row>
    <row r="84" spans="1:21">
      <c r="D84" s="18">
        <v>-400000</v>
      </c>
      <c r="E84" s="251" t="s">
        <v>5128</v>
      </c>
    </row>
    <row r="85" spans="1:21">
      <c r="D85" s="18">
        <v>250000</v>
      </c>
      <c r="E85" s="251" t="s">
        <v>5134</v>
      </c>
    </row>
    <row r="86" spans="1:21">
      <c r="D86" s="18">
        <v>-50000</v>
      </c>
      <c r="E86" s="251" t="s">
        <v>5135</v>
      </c>
    </row>
    <row r="87" spans="1:21">
      <c r="D87" s="18">
        <v>-300000</v>
      </c>
      <c r="E87" s="251" t="s">
        <v>5139</v>
      </c>
    </row>
    <row r="88" spans="1:21">
      <c r="D88" s="18">
        <v>-100000</v>
      </c>
      <c r="E88" s="251" t="s">
        <v>5153</v>
      </c>
      <c r="I88" t="s">
        <v>25</v>
      </c>
    </row>
    <row r="89" spans="1:21">
      <c r="D89" s="18">
        <v>-250000</v>
      </c>
      <c r="E89" s="251" t="s">
        <v>5165</v>
      </c>
    </row>
    <row r="90" spans="1:21">
      <c r="D90" s="18">
        <v>-45000</v>
      </c>
      <c r="E90" s="251" t="s">
        <v>5188</v>
      </c>
    </row>
    <row r="91" spans="1:21">
      <c r="D91" s="18">
        <v>3000000</v>
      </c>
      <c r="E91" s="251" t="s">
        <v>5189</v>
      </c>
      <c r="I91" t="s">
        <v>25</v>
      </c>
    </row>
    <row r="92" spans="1:21">
      <c r="D92" s="18">
        <v>-550000</v>
      </c>
      <c r="E92" s="251" t="s">
        <v>5190</v>
      </c>
    </row>
    <row r="93" spans="1:21">
      <c r="D93" s="18">
        <v>-200000</v>
      </c>
      <c r="E93" s="251" t="s">
        <v>5204</v>
      </c>
      <c r="G93" t="s">
        <v>25</v>
      </c>
    </row>
    <row r="94" spans="1:21">
      <c r="D94" s="18">
        <v>-30500</v>
      </c>
      <c r="E94" s="251" t="s">
        <v>5205</v>
      </c>
    </row>
    <row r="95" spans="1:21">
      <c r="D95" s="18">
        <v>2500000</v>
      </c>
      <c r="E95" s="251" t="s">
        <v>5240</v>
      </c>
      <c r="I95" t="s">
        <v>25</v>
      </c>
    </row>
    <row r="96" spans="1:21">
      <c r="D96" s="18">
        <v>-230000</v>
      </c>
      <c r="E96" s="251" t="s">
        <v>5247</v>
      </c>
    </row>
    <row r="97" spans="4:10">
      <c r="D97" s="18">
        <v>-168950</v>
      </c>
      <c r="E97" s="251" t="s">
        <v>4401</v>
      </c>
      <c r="J97" t="s">
        <v>25</v>
      </c>
    </row>
    <row r="98" spans="4:10">
      <c r="D98" s="18">
        <v>-250000</v>
      </c>
      <c r="E98" s="251" t="s">
        <v>5259</v>
      </c>
    </row>
    <row r="99" spans="4:10">
      <c r="D99" s="18">
        <v>500000</v>
      </c>
      <c r="E99" s="251" t="s">
        <v>5273</v>
      </c>
    </row>
    <row r="100" spans="4:10">
      <c r="D100" s="18">
        <v>-520000</v>
      </c>
      <c r="E100" s="251" t="s">
        <v>5272</v>
      </c>
      <c r="J100" t="s">
        <v>25</v>
      </c>
    </row>
    <row r="101" spans="4:10">
      <c r="D101" s="18">
        <v>500000</v>
      </c>
      <c r="E101" s="251" t="s">
        <v>5283</v>
      </c>
    </row>
    <row r="102" spans="4:10">
      <c r="D102" s="18">
        <v>-200000</v>
      </c>
      <c r="E102" s="251" t="s">
        <v>5287</v>
      </c>
    </row>
    <row r="103" spans="4:10">
      <c r="D103" s="18">
        <v>-300000</v>
      </c>
      <c r="E103" s="251" t="s">
        <v>5288</v>
      </c>
    </row>
    <row r="104" spans="4:10">
      <c r="D104" s="18">
        <v>-530000</v>
      </c>
      <c r="E104" s="251" t="s">
        <v>5306</v>
      </c>
    </row>
    <row r="105" spans="4:10">
      <c r="D105" s="18">
        <v>-550000</v>
      </c>
      <c r="E105" s="251" t="s">
        <v>5308</v>
      </c>
    </row>
    <row r="106" spans="4:10">
      <c r="D106" s="18">
        <v>-200000</v>
      </c>
      <c r="E106" s="251" t="s">
        <v>5332</v>
      </c>
    </row>
    <row r="107" spans="4:10">
      <c r="D107" s="18">
        <v>-1600000</v>
      </c>
      <c r="E107" s="251" t="s">
        <v>5334</v>
      </c>
      <c r="G107" t="s">
        <v>25</v>
      </c>
    </row>
    <row r="108" spans="4:10">
      <c r="D108" s="18">
        <v>1600000</v>
      </c>
      <c r="E108" s="251" t="s">
        <v>5342</v>
      </c>
    </row>
    <row r="109" spans="4:10">
      <c r="D109" s="18">
        <v>-550000</v>
      </c>
      <c r="E109" s="251" t="s">
        <v>5345</v>
      </c>
    </row>
    <row r="110" spans="4:10">
      <c r="D110" s="18">
        <v>-15000</v>
      </c>
      <c r="E110" s="251" t="s">
        <v>5350</v>
      </c>
    </row>
    <row r="111" spans="4:10">
      <c r="D111" s="18">
        <v>-325000</v>
      </c>
      <c r="E111" s="251" t="s">
        <v>5368</v>
      </c>
    </row>
    <row r="112" spans="4:10">
      <c r="D112" s="18">
        <v>-130000</v>
      </c>
      <c r="E112" s="251" t="s">
        <v>5369</v>
      </c>
    </row>
    <row r="113" spans="4:10">
      <c r="D113" s="18">
        <v>-250000</v>
      </c>
      <c r="E113" s="251" t="s">
        <v>5378</v>
      </c>
      <c r="J113" t="s">
        <v>25</v>
      </c>
    </row>
    <row r="114" spans="4:10">
      <c r="D114" s="18">
        <v>-750000</v>
      </c>
      <c r="E114" s="251" t="s">
        <v>5381</v>
      </c>
    </row>
    <row r="115" spans="4:10">
      <c r="D115" s="18">
        <v>250000</v>
      </c>
      <c r="E115" s="251" t="s">
        <v>5390</v>
      </c>
    </row>
    <row r="116" spans="4:10">
      <c r="D116" s="18">
        <v>-2100000</v>
      </c>
      <c r="E116" s="251" t="s">
        <v>5404</v>
      </c>
    </row>
    <row r="117" spans="4:10">
      <c r="D117" s="18">
        <v>-1000000</v>
      </c>
      <c r="E117" s="251" t="s">
        <v>5413</v>
      </c>
    </row>
    <row r="118" spans="4:10">
      <c r="D118" s="18">
        <v>-100000</v>
      </c>
      <c r="E118" s="251" t="s">
        <v>5414</v>
      </c>
    </row>
    <row r="119" spans="4:10">
      <c r="D119" s="18">
        <v>-550000</v>
      </c>
      <c r="E119" s="251" t="s">
        <v>5444</v>
      </c>
    </row>
    <row r="120" spans="4:10">
      <c r="D120" s="18">
        <v>-550000</v>
      </c>
      <c r="E120" s="251" t="s">
        <v>5445</v>
      </c>
    </row>
    <row r="121" spans="4:10">
      <c r="D121" s="18">
        <v>-390000</v>
      </c>
      <c r="E121" s="251" t="s">
        <v>5476</v>
      </c>
      <c r="H121" t="s">
        <v>25</v>
      </c>
      <c r="J121" t="s">
        <v>25</v>
      </c>
    </row>
    <row r="122" spans="4:10">
      <c r="D122" s="18">
        <v>2432520</v>
      </c>
      <c r="E122" s="251" t="s">
        <v>5477</v>
      </c>
    </row>
    <row r="123" spans="4:10">
      <c r="D123" s="18">
        <v>8000000</v>
      </c>
      <c r="E123" s="251" t="s">
        <v>5495</v>
      </c>
    </row>
    <row r="124" spans="4:10">
      <c r="D124" s="18">
        <v>-83930</v>
      </c>
      <c r="E124" s="251" t="s">
        <v>5504</v>
      </c>
    </row>
    <row r="125" spans="4:10">
      <c r="D125" s="18">
        <v>1000000</v>
      </c>
      <c r="E125" s="251" t="s">
        <v>5562</v>
      </c>
    </row>
    <row r="126" spans="4:10">
      <c r="D126" s="18">
        <v>-1333333</v>
      </c>
      <c r="E126" s="251" t="s">
        <v>5563</v>
      </c>
      <c r="J126" t="s">
        <v>25</v>
      </c>
    </row>
    <row r="127" spans="4:10">
      <c r="D127" s="18">
        <v>-1050000</v>
      </c>
      <c r="E127" s="251" t="s">
        <v>5601</v>
      </c>
    </row>
    <row r="128" spans="4:10">
      <c r="D128" s="18"/>
      <c r="E128" s="251"/>
    </row>
    <row r="129" spans="4:5">
      <c r="D129" s="18"/>
      <c r="E129" s="251"/>
    </row>
    <row r="130" spans="4:5">
      <c r="D130" s="18"/>
      <c r="E130" s="251"/>
    </row>
    <row r="131" spans="4:5">
      <c r="D131" s="18"/>
      <c r="E131" s="251"/>
    </row>
    <row r="132" spans="4:5">
      <c r="D132" s="18"/>
      <c r="E132" s="251"/>
    </row>
    <row r="133" spans="4:5">
      <c r="D133" s="18"/>
      <c r="E133" s="96"/>
    </row>
    <row r="134" spans="4:5">
      <c r="D134" s="18"/>
      <c r="E134" s="96" t="s">
        <v>25</v>
      </c>
    </row>
    <row r="135" spans="4:5">
      <c r="D135" s="18">
        <f>SUM(D40:D134)</f>
        <v>28836716</v>
      </c>
      <c r="E135" s="96" t="s">
        <v>6</v>
      </c>
    </row>
    <row r="136" spans="4:5">
      <c r="D136" s="96"/>
      <c r="E136" s="96"/>
    </row>
    <row r="137" spans="4:5">
      <c r="D137" s="96"/>
      <c r="E137" s="96"/>
    </row>
    <row r="140" spans="4:5">
      <c r="E140" t="s">
        <v>25</v>
      </c>
    </row>
    <row r="141" spans="4:5">
      <c r="E141" t="s">
        <v>25</v>
      </c>
    </row>
    <row r="142" spans="4:5">
      <c r="E14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 t="shared" ref="D27" si="4">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4276</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4258</v>
      </c>
      <c r="F63" s="96"/>
      <c r="G63" s="96"/>
      <c r="H63" s="96"/>
      <c r="I63" s="96"/>
      <c r="J63" s="96"/>
      <c r="K63" s="96"/>
      <c r="L63" s="96"/>
      <c r="M63" s="96"/>
      <c r="N63" s="96"/>
      <c r="O63" s="96"/>
      <c r="P63" s="96"/>
      <c r="Q63" s="96"/>
      <c r="R63" s="96"/>
      <c r="S63" s="96"/>
      <c r="T63" s="96"/>
    </row>
    <row r="64" spans="1:20">
      <c r="A64" s="96"/>
      <c r="B64" s="96"/>
      <c r="C64" s="96"/>
      <c r="D64" s="114">
        <v>170000</v>
      </c>
      <c r="E64" s="41" t="s">
        <v>4260</v>
      </c>
      <c r="F64" s="96"/>
      <c r="G64" s="96"/>
      <c r="H64" s="96" t="s">
        <v>25</v>
      </c>
      <c r="I64" s="96"/>
      <c r="J64" s="96"/>
      <c r="K64" s="96"/>
      <c r="L64" s="96"/>
      <c r="M64" s="96"/>
      <c r="N64" s="96"/>
      <c r="O64" s="96"/>
      <c r="P64" s="96"/>
      <c r="Q64" s="96"/>
      <c r="R64" s="96"/>
      <c r="S64" s="96"/>
      <c r="T64" s="96"/>
    </row>
    <row r="65" spans="1:20">
      <c r="A65" s="96"/>
      <c r="B65" s="96"/>
      <c r="C65" s="96"/>
      <c r="D65" s="114">
        <v>-45000</v>
      </c>
      <c r="E65" s="41" t="s">
        <v>4261</v>
      </c>
      <c r="F65" s="96"/>
      <c r="G65" s="96"/>
      <c r="H65" s="96"/>
      <c r="I65" s="96"/>
      <c r="J65" s="96"/>
      <c r="K65" s="96"/>
      <c r="L65" s="96"/>
      <c r="M65" s="96"/>
      <c r="N65" s="96"/>
      <c r="O65" s="96"/>
      <c r="P65" s="96"/>
      <c r="Q65" s="96"/>
      <c r="R65" s="96"/>
      <c r="S65" s="96"/>
      <c r="T65" s="96"/>
    </row>
    <row r="66" spans="1:20">
      <c r="A66" s="96"/>
      <c r="B66" s="96"/>
      <c r="C66" s="96"/>
      <c r="D66" s="114">
        <v>-89000</v>
      </c>
      <c r="E66" s="41" t="s">
        <v>4262</v>
      </c>
      <c r="F66" s="96"/>
      <c r="G66" s="96"/>
      <c r="H66" s="96"/>
      <c r="I66" s="96"/>
      <c r="J66" s="96"/>
      <c r="K66" s="96"/>
      <c r="L66" s="96"/>
      <c r="M66" s="96"/>
      <c r="N66" s="96"/>
      <c r="O66" s="96"/>
      <c r="P66" s="96"/>
      <c r="Q66" s="96"/>
      <c r="R66" s="96"/>
      <c r="S66" s="96"/>
      <c r="T66" s="96"/>
    </row>
    <row r="67" spans="1:20">
      <c r="A67" s="96"/>
      <c r="B67" s="96"/>
      <c r="C67" s="96"/>
      <c r="D67" s="114">
        <v>300000</v>
      </c>
      <c r="E67" s="41" t="s">
        <v>4272</v>
      </c>
      <c r="F67" s="96"/>
      <c r="G67" s="96"/>
      <c r="H67" s="96"/>
      <c r="I67" s="96"/>
      <c r="J67" s="96"/>
      <c r="K67" s="96"/>
      <c r="L67" s="96"/>
      <c r="M67" s="96"/>
      <c r="N67" s="96"/>
      <c r="O67" s="96"/>
      <c r="P67" s="96"/>
      <c r="Q67" s="96"/>
      <c r="R67" s="96"/>
      <c r="S67" s="96"/>
      <c r="T67" s="96"/>
    </row>
    <row r="68" spans="1:20">
      <c r="A68" s="96"/>
      <c r="B68" s="96"/>
      <c r="C68" s="96"/>
      <c r="D68" s="114">
        <v>-1690740</v>
      </c>
      <c r="E68" s="41" t="s">
        <v>4274</v>
      </c>
      <c r="F68" s="96"/>
      <c r="G68" s="96"/>
      <c r="H68" s="96"/>
      <c r="I68" s="96"/>
      <c r="J68" s="96"/>
      <c r="K68" s="96"/>
      <c r="L68" s="96"/>
      <c r="M68" s="96"/>
      <c r="N68" s="96"/>
      <c r="O68" s="96"/>
      <c r="P68" s="96"/>
      <c r="Q68" s="96"/>
      <c r="R68" s="96"/>
      <c r="S68" s="96"/>
      <c r="T68" s="96"/>
    </row>
    <row r="69" spans="1:20">
      <c r="A69" s="96"/>
      <c r="B69" s="96"/>
      <c r="C69" s="96"/>
      <c r="D69" s="114">
        <v>-226000</v>
      </c>
      <c r="E69" s="41" t="s">
        <v>4275</v>
      </c>
      <c r="F69" s="96"/>
      <c r="G69" s="96"/>
      <c r="H69" s="96"/>
      <c r="I69" s="96"/>
      <c r="J69" s="96"/>
      <c r="K69" s="96"/>
      <c r="L69" s="96"/>
      <c r="M69" s="96"/>
      <c r="N69" s="96"/>
      <c r="O69" s="96"/>
      <c r="P69" s="96"/>
      <c r="Q69" s="96"/>
      <c r="R69" s="96"/>
      <c r="S69" s="96"/>
      <c r="T69" s="96"/>
    </row>
    <row r="70" spans="1:20" ht="45">
      <c r="A70" s="96"/>
      <c r="B70" s="96"/>
      <c r="C70" s="96"/>
      <c r="D70" s="114">
        <v>505000</v>
      </c>
      <c r="E70" s="54" t="s">
        <v>4277</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4276</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4295</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4300</v>
      </c>
      <c r="B4" s="18">
        <v>-3200000</v>
      </c>
      <c r="C4" s="18">
        <v>0</v>
      </c>
      <c r="D4" s="113">
        <f t="shared" si="0"/>
        <v>-3200000</v>
      </c>
      <c r="E4" s="99" t="s">
        <v>4309</v>
      </c>
      <c r="F4" s="96">
        <v>24</v>
      </c>
      <c r="G4" s="96">
        <f t="shared" si="1"/>
        <v>-76800000</v>
      </c>
      <c r="H4" s="96">
        <f t="shared" si="2"/>
        <v>0</v>
      </c>
      <c r="I4" s="96">
        <f t="shared" si="3"/>
        <v>-76800000</v>
      </c>
      <c r="J4" s="96"/>
      <c r="K4" s="96"/>
      <c r="L4" s="96"/>
      <c r="M4" s="96"/>
      <c r="N4" s="96"/>
      <c r="O4" s="96"/>
      <c r="P4" s="96"/>
      <c r="Q4" s="96"/>
      <c r="R4" s="96"/>
      <c r="S4" s="96"/>
    </row>
    <row r="5" spans="1:19">
      <c r="A5" s="30" t="s">
        <v>4300</v>
      </c>
      <c r="B5" s="18">
        <v>2400000</v>
      </c>
      <c r="C5" s="18">
        <v>0</v>
      </c>
      <c r="D5" s="113">
        <f t="shared" si="0"/>
        <v>2400000</v>
      </c>
      <c r="E5" s="20" t="s">
        <v>4311</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4319</v>
      </c>
      <c r="B6" s="18">
        <v>-2000700</v>
      </c>
      <c r="C6" s="18">
        <v>0</v>
      </c>
      <c r="D6" s="113">
        <f t="shared" si="0"/>
        <v>-2000700</v>
      </c>
      <c r="E6" s="19" t="s">
        <v>4320</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4319</v>
      </c>
      <c r="B7" s="18">
        <v>-200000</v>
      </c>
      <c r="C7" s="18">
        <v>0</v>
      </c>
      <c r="D7" s="113">
        <f t="shared" si="0"/>
        <v>-200000</v>
      </c>
      <c r="E7" s="19" t="s">
        <v>4321</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4319</v>
      </c>
      <c r="B8" s="18">
        <v>-1900000</v>
      </c>
      <c r="C8" s="18">
        <v>0</v>
      </c>
      <c r="D8" s="113">
        <f t="shared" si="0"/>
        <v>-1900000</v>
      </c>
      <c r="E8" s="19" t="s">
        <v>4322</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4325</v>
      </c>
      <c r="B9" s="18">
        <v>-50000</v>
      </c>
      <c r="C9" s="18">
        <v>0</v>
      </c>
      <c r="D9" s="113">
        <f t="shared" si="0"/>
        <v>-50000</v>
      </c>
      <c r="E9" s="21" t="s">
        <v>4326</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4336</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4336</v>
      </c>
      <c r="B11" s="18">
        <v>-3000900</v>
      </c>
      <c r="C11" s="18">
        <v>0</v>
      </c>
      <c r="D11" s="113">
        <f t="shared" si="0"/>
        <v>-3000900</v>
      </c>
      <c r="E11" s="19" t="s">
        <v>4344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4337</v>
      </c>
      <c r="B12" s="18">
        <v>-3000900</v>
      </c>
      <c r="C12" s="18">
        <v>0</v>
      </c>
      <c r="D12" s="113">
        <f t="shared" si="0"/>
        <v>-3000900</v>
      </c>
      <c r="E12" s="20" t="s">
        <v>4344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4337</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4356</v>
      </c>
      <c r="B14" s="18">
        <v>-138360</v>
      </c>
      <c r="C14" s="18">
        <v>0</v>
      </c>
      <c r="D14" s="113">
        <f t="shared" si="0"/>
        <v>-138360</v>
      </c>
      <c r="E14" s="20" t="s">
        <v>4357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4359</v>
      </c>
      <c r="B15" s="18">
        <v>-3000900</v>
      </c>
      <c r="C15" s="18">
        <v>0</v>
      </c>
      <c r="D15" s="117">
        <f t="shared" si="0"/>
        <v>-3000900</v>
      </c>
      <c r="E15" s="20" t="s">
        <v>4344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4365</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4381</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4391</v>
      </c>
      <c r="B18" s="18">
        <v>-4098523</v>
      </c>
      <c r="C18" s="18">
        <v>0</v>
      </c>
      <c r="D18" s="113">
        <f t="shared" si="0"/>
        <v>-4098523</v>
      </c>
      <c r="E18" s="20" t="s">
        <v>4390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4391</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4391</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4387</v>
      </c>
      <c r="B21" s="18">
        <v>-7500</v>
      </c>
      <c r="C21" s="18">
        <v>0</v>
      </c>
      <c r="D21" s="113">
        <f t="shared" si="0"/>
        <v>-7500</v>
      </c>
      <c r="E21" s="19" t="s">
        <v>4388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4420</v>
      </c>
      <c r="B22" s="18">
        <v>7964</v>
      </c>
      <c r="C22" s="18">
        <v>65497</v>
      </c>
      <c r="D22" s="113">
        <f t="shared" si="0"/>
        <v>-57533</v>
      </c>
      <c r="E22" s="19" t="s">
        <v>4421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4279</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4278</v>
      </c>
      <c r="F35" s="96"/>
      <c r="G35" s="96"/>
      <c r="H35" s="96"/>
      <c r="I35" s="96"/>
      <c r="J35" s="96"/>
      <c r="K35" s="96"/>
      <c r="L35" s="96"/>
      <c r="M35" s="96"/>
      <c r="N35" s="96"/>
      <c r="O35" s="96"/>
      <c r="P35" s="96" t="s">
        <v>60</v>
      </c>
      <c r="Q35" s="96" t="s">
        <v>61</v>
      </c>
      <c r="R35" s="96"/>
      <c r="S35" s="96"/>
    </row>
    <row r="36" spans="1:19">
      <c r="A36" s="96"/>
      <c r="B36" s="96"/>
      <c r="C36" s="96"/>
      <c r="D36" s="114">
        <v>-11316095</v>
      </c>
      <c r="E36" s="54" t="s">
        <v>4280</v>
      </c>
      <c r="F36" s="96"/>
      <c r="G36" s="96"/>
      <c r="H36" s="96"/>
      <c r="I36" s="96"/>
      <c r="J36" s="96"/>
      <c r="K36" s="96"/>
      <c r="L36" s="96"/>
      <c r="M36" s="96"/>
      <c r="N36" s="96"/>
      <c r="O36" s="96"/>
      <c r="P36" s="96"/>
      <c r="Q36" s="96"/>
      <c r="R36" s="96"/>
      <c r="S36" s="96"/>
    </row>
    <row r="37" spans="1:19">
      <c r="A37" s="96"/>
      <c r="B37" s="96"/>
      <c r="C37" s="96"/>
      <c r="D37" s="114">
        <v>-137223</v>
      </c>
      <c r="E37" s="54" t="s">
        <v>4281</v>
      </c>
      <c r="F37" s="96"/>
      <c r="G37" s="96"/>
      <c r="H37" s="96"/>
      <c r="I37" s="96"/>
      <c r="J37" s="96"/>
      <c r="K37" s="96"/>
      <c r="L37" s="96"/>
      <c r="M37" s="96"/>
      <c r="N37" s="96"/>
      <c r="O37" s="96"/>
      <c r="P37" s="96"/>
      <c r="Q37" s="96"/>
      <c r="R37" s="96"/>
      <c r="S37" s="96"/>
    </row>
    <row r="38" spans="1:19">
      <c r="A38" s="96"/>
      <c r="B38" s="96"/>
      <c r="C38" s="96"/>
      <c r="D38" s="114">
        <v>-234246</v>
      </c>
      <c r="E38" s="54" t="s">
        <v>4284</v>
      </c>
      <c r="F38" s="96"/>
      <c r="G38" s="96"/>
      <c r="H38" s="96"/>
      <c r="I38" s="96"/>
      <c r="J38" s="96"/>
      <c r="K38" s="96"/>
      <c r="L38" s="96"/>
      <c r="M38" s="96"/>
      <c r="N38" s="96"/>
      <c r="O38" s="96"/>
      <c r="P38" s="96"/>
      <c r="Q38" s="96"/>
      <c r="R38" s="96"/>
      <c r="S38" s="96"/>
    </row>
    <row r="39" spans="1:19">
      <c r="A39" s="96"/>
      <c r="B39" s="96"/>
      <c r="C39" s="96"/>
      <c r="D39" s="114">
        <v>-22574</v>
      </c>
      <c r="E39" s="54" t="s">
        <v>4287</v>
      </c>
      <c r="F39" s="96"/>
      <c r="G39" s="96"/>
      <c r="H39" s="96"/>
      <c r="I39" s="96"/>
      <c r="J39" s="96"/>
      <c r="K39" s="96"/>
      <c r="L39" s="96"/>
      <c r="M39" s="96"/>
      <c r="N39" s="96"/>
      <c r="O39" s="96"/>
      <c r="P39" s="96"/>
      <c r="Q39" s="96"/>
      <c r="R39" s="96"/>
      <c r="S39" s="96"/>
    </row>
    <row r="40" spans="1:19">
      <c r="A40" s="96"/>
      <c r="B40" s="96"/>
      <c r="C40" s="96"/>
      <c r="D40" s="114">
        <v>-48894</v>
      </c>
      <c r="E40" s="54" t="s">
        <v>4288</v>
      </c>
      <c r="F40" s="96"/>
      <c r="G40" s="96" t="s">
        <v>25</v>
      </c>
      <c r="H40" s="96"/>
      <c r="I40" s="96"/>
      <c r="J40" s="96"/>
      <c r="K40" s="96"/>
      <c r="L40" s="96"/>
      <c r="M40" s="96"/>
      <c r="N40" s="96"/>
      <c r="O40" s="96"/>
      <c r="P40" s="96"/>
      <c r="Q40" s="96"/>
      <c r="R40" s="96"/>
      <c r="S40" s="96"/>
    </row>
    <row r="41" spans="1:19">
      <c r="A41" s="96"/>
      <c r="B41" s="96"/>
      <c r="C41" s="96"/>
      <c r="D41" s="114">
        <v>-25000</v>
      </c>
      <c r="E41" s="54" t="s">
        <v>4292</v>
      </c>
      <c r="F41" s="96"/>
      <c r="G41" s="96"/>
      <c r="H41" s="96"/>
      <c r="I41" s="96"/>
      <c r="J41" s="96"/>
      <c r="K41" s="96"/>
      <c r="L41" s="96"/>
      <c r="M41" s="96"/>
      <c r="N41" s="96"/>
      <c r="O41" s="96"/>
      <c r="P41" s="96"/>
      <c r="Q41" s="96"/>
      <c r="R41" s="96"/>
      <c r="S41" s="96"/>
    </row>
    <row r="42" spans="1:19">
      <c r="A42" s="96"/>
      <c r="B42" s="96"/>
      <c r="C42" s="96"/>
      <c r="D42" s="114">
        <v>1000000</v>
      </c>
      <c r="E42" s="54" t="s">
        <v>4293</v>
      </c>
      <c r="F42" s="96"/>
      <c r="G42" s="96"/>
      <c r="H42" s="96"/>
      <c r="I42" s="96"/>
      <c r="J42" s="96"/>
      <c r="K42" s="96"/>
      <c r="L42" s="96"/>
      <c r="M42" s="96"/>
      <c r="N42" s="96"/>
      <c r="O42" s="96"/>
      <c r="P42" s="96"/>
      <c r="Q42" s="96"/>
      <c r="R42" s="96"/>
      <c r="S42" s="96"/>
    </row>
    <row r="43" spans="1:19">
      <c r="A43" s="96"/>
      <c r="B43" s="96"/>
      <c r="C43" s="96"/>
      <c r="D43" s="114">
        <v>-5000000</v>
      </c>
      <c r="E43" s="54" t="s">
        <v>4294</v>
      </c>
      <c r="F43" s="96"/>
      <c r="G43" s="96"/>
      <c r="H43" s="96"/>
      <c r="I43" s="96"/>
      <c r="J43" s="96"/>
      <c r="K43" s="96"/>
      <c r="L43" s="96"/>
      <c r="M43" s="96"/>
      <c r="N43" s="96"/>
      <c r="O43" s="96"/>
      <c r="P43" s="96"/>
      <c r="Q43" s="96"/>
      <c r="R43" s="96"/>
      <c r="S43" s="96"/>
    </row>
    <row r="44" spans="1:19">
      <c r="A44" s="96"/>
      <c r="B44" s="96"/>
      <c r="C44" s="96"/>
      <c r="D44" s="114">
        <v>-400000</v>
      </c>
      <c r="E44" s="54" t="s">
        <v>4296</v>
      </c>
      <c r="F44" s="96"/>
      <c r="G44" s="96"/>
      <c r="H44" s="96"/>
      <c r="I44" s="96"/>
      <c r="J44" s="96"/>
      <c r="K44" s="96"/>
      <c r="L44" s="96"/>
      <c r="M44" s="96"/>
      <c r="N44" s="96"/>
      <c r="O44" s="96"/>
      <c r="P44" s="96"/>
      <c r="Q44" s="96"/>
      <c r="R44" s="96"/>
      <c r="S44" s="96"/>
    </row>
    <row r="45" spans="1:19">
      <c r="A45" s="96"/>
      <c r="B45" s="96"/>
      <c r="C45" s="96"/>
      <c r="D45" s="114">
        <v>-20000</v>
      </c>
      <c r="E45" s="54" t="s">
        <v>4297</v>
      </c>
      <c r="F45" s="96"/>
      <c r="G45" s="96"/>
      <c r="H45" s="96"/>
      <c r="I45" s="96"/>
      <c r="J45" s="96"/>
      <c r="K45" s="96"/>
      <c r="L45" s="96"/>
      <c r="M45" s="96"/>
      <c r="N45" s="96"/>
      <c r="O45" s="96"/>
      <c r="P45" s="96"/>
      <c r="Q45" s="96"/>
      <c r="R45" s="96"/>
      <c r="S45" s="96"/>
    </row>
    <row r="46" spans="1:19">
      <c r="A46" s="96"/>
      <c r="B46" s="96"/>
      <c r="C46" s="96"/>
      <c r="D46" s="114">
        <v>-33087</v>
      </c>
      <c r="E46" s="54" t="s">
        <v>4298</v>
      </c>
      <c r="F46" s="96"/>
      <c r="G46" s="96"/>
      <c r="H46" s="96"/>
      <c r="I46" s="96"/>
      <c r="J46" s="96"/>
      <c r="K46" s="96"/>
      <c r="L46" s="96"/>
      <c r="M46" s="96"/>
      <c r="N46" s="96"/>
      <c r="O46" s="96"/>
      <c r="P46" s="96"/>
      <c r="Q46" s="96"/>
      <c r="R46" s="96"/>
      <c r="S46" s="96"/>
    </row>
    <row r="47" spans="1:19">
      <c r="A47" s="96"/>
      <c r="B47" s="96"/>
      <c r="C47" s="96"/>
      <c r="D47" s="114">
        <v>-73818</v>
      </c>
      <c r="E47" s="54" t="s">
        <v>4301</v>
      </c>
      <c r="F47" s="114" t="s">
        <v>25</v>
      </c>
      <c r="G47" s="41" t="s">
        <v>25</v>
      </c>
      <c r="H47" s="96"/>
      <c r="I47" s="96"/>
      <c r="J47" s="96"/>
      <c r="K47" s="96"/>
      <c r="L47" s="96"/>
      <c r="M47" s="96"/>
      <c r="N47" s="96"/>
      <c r="O47" s="96"/>
      <c r="P47" s="96"/>
      <c r="Q47" s="96"/>
      <c r="R47" s="96"/>
      <c r="S47" s="96"/>
    </row>
    <row r="48" spans="1:19">
      <c r="A48" s="96"/>
      <c r="B48" s="96"/>
      <c r="C48" s="96"/>
      <c r="D48" s="114">
        <v>200000</v>
      </c>
      <c r="E48" s="54" t="s">
        <v>4308</v>
      </c>
      <c r="F48" s="114"/>
      <c r="G48" s="41"/>
      <c r="H48" s="96"/>
      <c r="I48" s="96"/>
      <c r="J48" s="96"/>
      <c r="K48" s="96"/>
      <c r="L48" s="96"/>
      <c r="M48" s="96"/>
      <c r="N48" s="96"/>
      <c r="O48" s="96"/>
      <c r="P48" s="96"/>
      <c r="Q48" s="96"/>
      <c r="R48" s="96"/>
      <c r="S48" s="96"/>
    </row>
    <row r="49" spans="1:19">
      <c r="A49" s="96"/>
      <c r="B49" s="96"/>
      <c r="C49" s="96"/>
      <c r="D49" s="114">
        <v>-2400000</v>
      </c>
      <c r="E49" s="54" t="s">
        <v>4312</v>
      </c>
      <c r="F49" s="114"/>
      <c r="G49" s="41"/>
      <c r="H49" s="96"/>
      <c r="I49" s="96"/>
      <c r="J49" s="96"/>
      <c r="K49" s="96"/>
      <c r="L49" s="96"/>
      <c r="M49" s="96"/>
      <c r="N49" s="96"/>
      <c r="O49" s="96"/>
      <c r="P49" s="96"/>
      <c r="Q49" s="96"/>
      <c r="R49" s="96"/>
      <c r="S49" s="96"/>
    </row>
    <row r="50" spans="1:19">
      <c r="A50" s="96"/>
      <c r="B50" s="96"/>
      <c r="C50" s="96"/>
      <c r="D50" s="114">
        <v>50000</v>
      </c>
      <c r="E50" s="54" t="s">
        <v>4327</v>
      </c>
      <c r="F50" s="114"/>
      <c r="G50" s="41"/>
      <c r="H50" s="96"/>
      <c r="I50" s="96"/>
      <c r="J50" s="96"/>
      <c r="K50" s="96"/>
      <c r="L50" s="96"/>
      <c r="M50" s="96"/>
      <c r="N50" s="96"/>
      <c r="O50" s="96"/>
      <c r="P50" s="96"/>
      <c r="Q50" s="96"/>
      <c r="R50" s="96"/>
      <c r="S50" s="96"/>
    </row>
    <row r="51" spans="1:19">
      <c r="A51" s="96"/>
      <c r="B51" s="96"/>
      <c r="C51" s="96"/>
      <c r="D51" s="114">
        <v>1000000</v>
      </c>
      <c r="E51" s="54" t="s">
        <v>4324</v>
      </c>
      <c r="F51" s="96"/>
      <c r="G51" s="96"/>
      <c r="H51" s="96"/>
      <c r="I51" s="96"/>
      <c r="J51" s="96"/>
      <c r="K51" s="96"/>
      <c r="L51" s="96"/>
      <c r="M51" s="96"/>
      <c r="N51" s="96"/>
      <c r="O51" s="96"/>
      <c r="P51" s="96"/>
      <c r="Q51" s="96"/>
      <c r="R51" s="96"/>
      <c r="S51" s="96"/>
    </row>
    <row r="52" spans="1:19">
      <c r="A52" s="96"/>
      <c r="B52" s="96"/>
      <c r="C52" s="96"/>
      <c r="D52" s="114">
        <v>-100000</v>
      </c>
      <c r="E52" s="54" t="s">
        <v>4323</v>
      </c>
      <c r="F52" s="96"/>
      <c r="G52" s="96"/>
      <c r="H52" s="96"/>
      <c r="I52" s="96"/>
      <c r="J52" s="96"/>
      <c r="K52" s="96"/>
      <c r="L52" s="96"/>
      <c r="M52" s="96"/>
      <c r="N52" s="96"/>
      <c r="O52" s="96"/>
      <c r="P52" s="96"/>
      <c r="Q52" s="96"/>
      <c r="R52" s="96"/>
      <c r="S52" s="96"/>
    </row>
    <row r="53" spans="1:19">
      <c r="A53" s="96"/>
      <c r="B53" s="96"/>
      <c r="C53" s="96"/>
      <c r="D53" s="114">
        <v>-300699</v>
      </c>
      <c r="E53" s="54" t="s">
        <v>4328</v>
      </c>
      <c r="F53" s="96"/>
      <c r="G53" s="96"/>
      <c r="H53" s="96"/>
      <c r="I53" s="96"/>
      <c r="J53" s="96"/>
      <c r="K53" s="96"/>
      <c r="L53" s="96"/>
      <c r="M53" s="96"/>
      <c r="N53" s="96"/>
      <c r="O53" s="96"/>
      <c r="P53" s="96"/>
      <c r="Q53" s="96"/>
      <c r="R53" s="96"/>
      <c r="S53" s="96"/>
    </row>
    <row r="54" spans="1:19">
      <c r="A54" s="96"/>
      <c r="B54" s="96"/>
      <c r="C54" s="96"/>
      <c r="D54" s="114">
        <v>250000</v>
      </c>
      <c r="E54" s="54" t="s">
        <v>4331</v>
      </c>
      <c r="F54" s="96"/>
      <c r="G54" s="96"/>
      <c r="H54" s="96"/>
      <c r="I54" s="96"/>
      <c r="J54" s="96"/>
      <c r="K54" s="96"/>
      <c r="L54" s="96"/>
      <c r="M54" s="96"/>
      <c r="N54" s="96"/>
      <c r="O54" s="96"/>
      <c r="P54" s="96"/>
      <c r="Q54" s="96"/>
      <c r="R54" s="96"/>
      <c r="S54" s="96"/>
    </row>
    <row r="55" spans="1:19">
      <c r="A55" s="96"/>
      <c r="B55" s="96"/>
      <c r="C55" s="96"/>
      <c r="D55" s="114">
        <v>-19615</v>
      </c>
      <c r="E55" s="54" t="s">
        <v>4333</v>
      </c>
      <c r="F55" s="96"/>
      <c r="G55" s="96"/>
      <c r="H55" s="96"/>
      <c r="I55" s="96"/>
      <c r="J55" s="96"/>
      <c r="K55" s="96"/>
      <c r="L55" s="96"/>
      <c r="M55" s="96"/>
      <c r="N55" s="96"/>
      <c r="O55" s="96"/>
      <c r="P55" s="96"/>
      <c r="Q55" s="96"/>
      <c r="R55" s="96"/>
      <c r="S55" s="96"/>
    </row>
    <row r="56" spans="1:19">
      <c r="A56" s="96"/>
      <c r="B56" s="96"/>
      <c r="C56" s="96"/>
      <c r="D56" s="114">
        <v>10000000</v>
      </c>
      <c r="E56" s="54" t="s">
        <v>4340</v>
      </c>
      <c r="F56" s="96"/>
      <c r="G56" s="96"/>
      <c r="H56" s="96"/>
      <c r="I56" s="96"/>
      <c r="J56" s="96"/>
      <c r="K56" s="96"/>
      <c r="L56" s="96"/>
      <c r="M56" s="96"/>
      <c r="N56" s="96"/>
      <c r="O56" s="96"/>
      <c r="P56" s="96"/>
      <c r="Q56" s="96"/>
      <c r="R56" s="96"/>
      <c r="S56" s="96"/>
    </row>
    <row r="57" spans="1:19">
      <c r="A57" s="96"/>
      <c r="B57" s="96"/>
      <c r="C57" s="96"/>
      <c r="D57" s="114">
        <v>-9413000</v>
      </c>
      <c r="E57" s="54" t="s">
        <v>4341</v>
      </c>
      <c r="F57" s="96"/>
      <c r="G57" s="96"/>
      <c r="H57" s="96"/>
      <c r="I57" s="96"/>
      <c r="J57" s="96"/>
      <c r="K57" s="96"/>
      <c r="L57" s="96"/>
      <c r="M57" s="96"/>
      <c r="N57" s="96"/>
      <c r="O57" s="96"/>
      <c r="P57" s="96"/>
      <c r="Q57" s="96"/>
      <c r="R57" s="96"/>
      <c r="S57" s="96"/>
    </row>
    <row r="58" spans="1:19">
      <c r="A58" s="96"/>
      <c r="B58" s="96"/>
      <c r="C58" s="96"/>
      <c r="D58" s="114">
        <v>8736514</v>
      </c>
      <c r="E58" s="54" t="s">
        <v>4342</v>
      </c>
      <c r="F58" s="96"/>
      <c r="G58" s="96"/>
      <c r="H58" s="96"/>
      <c r="I58" s="96"/>
      <c r="J58" s="96"/>
      <c r="K58" s="96"/>
      <c r="L58" s="96"/>
      <c r="M58" s="96"/>
      <c r="N58" s="96"/>
      <c r="O58" s="96"/>
      <c r="P58" s="96"/>
      <c r="Q58" s="96"/>
      <c r="R58" s="96"/>
      <c r="S58" s="96"/>
    </row>
    <row r="59" spans="1:19">
      <c r="A59" s="96"/>
      <c r="B59" s="96"/>
      <c r="C59" s="96"/>
      <c r="D59" s="114">
        <v>-9700000</v>
      </c>
      <c r="E59" s="54" t="s">
        <v>4343</v>
      </c>
      <c r="F59" s="96"/>
      <c r="G59" s="96"/>
      <c r="H59" s="96"/>
      <c r="I59" s="96"/>
      <c r="J59" s="96"/>
      <c r="K59" s="96"/>
      <c r="L59" s="96"/>
      <c r="M59" s="96"/>
      <c r="N59" s="96"/>
      <c r="O59" s="96"/>
      <c r="P59" s="96"/>
      <c r="Q59" s="96"/>
      <c r="R59" s="96"/>
      <c r="S59" s="96"/>
    </row>
    <row r="60" spans="1:19">
      <c r="A60" s="96"/>
      <c r="B60" s="96"/>
      <c r="C60" s="96"/>
      <c r="D60" s="114">
        <v>2450000</v>
      </c>
      <c r="E60" s="54" t="s">
        <v>4340</v>
      </c>
      <c r="F60" s="96"/>
      <c r="G60" s="96"/>
      <c r="H60" s="96" t="s">
        <v>25</v>
      </c>
      <c r="I60" s="96"/>
      <c r="J60" s="96"/>
      <c r="K60" s="96"/>
      <c r="L60" s="96"/>
      <c r="M60" s="96"/>
      <c r="N60" s="96"/>
      <c r="O60" s="96"/>
      <c r="P60" s="96"/>
      <c r="Q60" s="96"/>
      <c r="R60" s="96"/>
      <c r="S60" s="96"/>
    </row>
    <row r="61" spans="1:19">
      <c r="A61" s="96"/>
      <c r="B61" s="96"/>
      <c r="C61" s="96"/>
      <c r="D61" s="114">
        <v>-250000</v>
      </c>
      <c r="E61" s="54" t="s">
        <v>4345</v>
      </c>
      <c r="F61" s="96"/>
      <c r="G61" s="96"/>
      <c r="H61" s="96"/>
      <c r="I61" s="96"/>
      <c r="J61" s="96"/>
      <c r="K61" s="96"/>
      <c r="L61" s="96"/>
      <c r="M61" s="96"/>
      <c r="N61" s="96"/>
      <c r="O61" s="96"/>
      <c r="P61" s="96"/>
      <c r="Q61" s="96"/>
      <c r="R61" s="96"/>
      <c r="S61" s="96"/>
    </row>
    <row r="62" spans="1:19">
      <c r="A62" s="96"/>
      <c r="B62" s="96"/>
      <c r="C62" s="96"/>
      <c r="D62" s="114">
        <v>-2000000</v>
      </c>
      <c r="E62" s="54" t="s">
        <v>4350</v>
      </c>
      <c r="F62" s="96"/>
      <c r="G62" s="96"/>
      <c r="H62" s="96"/>
      <c r="I62" s="96"/>
      <c r="J62" s="96"/>
      <c r="K62" s="96"/>
      <c r="L62" s="96"/>
      <c r="M62" s="96"/>
      <c r="N62" s="96"/>
      <c r="O62" s="96"/>
      <c r="P62" s="96"/>
      <c r="Q62" s="96"/>
      <c r="R62" s="96"/>
      <c r="S62" s="96"/>
    </row>
    <row r="63" spans="1:19">
      <c r="A63" s="96"/>
      <c r="B63" s="96"/>
      <c r="C63" s="96"/>
      <c r="D63" s="114">
        <v>-25000</v>
      </c>
      <c r="E63" s="54" t="s">
        <v>4351</v>
      </c>
      <c r="F63" s="96"/>
      <c r="G63" s="96"/>
      <c r="H63" s="96"/>
      <c r="I63" s="96"/>
      <c r="J63" s="96"/>
      <c r="K63" s="96"/>
      <c r="L63" s="96"/>
      <c r="M63" s="96"/>
      <c r="N63" s="96"/>
      <c r="O63" s="96"/>
      <c r="P63" s="96"/>
      <c r="Q63" s="96"/>
      <c r="R63" s="96"/>
      <c r="S63" s="96"/>
    </row>
    <row r="64" spans="1:19">
      <c r="A64" s="96"/>
      <c r="B64" s="96"/>
      <c r="C64" s="96"/>
      <c r="D64" s="114">
        <v>138360</v>
      </c>
      <c r="E64" s="54" t="s">
        <v>4355</v>
      </c>
      <c r="F64" s="96"/>
      <c r="G64" s="96"/>
      <c r="H64" s="96" t="s">
        <v>25</v>
      </c>
      <c r="I64" s="96"/>
      <c r="J64" s="96"/>
      <c r="K64" s="96"/>
      <c r="L64" s="96"/>
      <c r="M64" s="96"/>
      <c r="N64" s="96"/>
      <c r="O64" s="96"/>
      <c r="P64" s="96"/>
      <c r="Q64" s="96"/>
      <c r="R64" s="96"/>
      <c r="S64" s="96"/>
    </row>
    <row r="65" spans="1:21">
      <c r="A65" s="96"/>
      <c r="B65" s="96"/>
      <c r="C65" s="96"/>
      <c r="D65" s="114">
        <v>-69003</v>
      </c>
      <c r="E65" s="54" t="s">
        <v>4360</v>
      </c>
      <c r="F65" s="96"/>
      <c r="G65" s="96"/>
      <c r="H65" s="96"/>
      <c r="I65" s="96"/>
      <c r="J65" s="96"/>
      <c r="K65" s="96"/>
      <c r="L65" s="96"/>
      <c r="M65" s="96"/>
      <c r="N65" s="96"/>
      <c r="O65" s="96"/>
      <c r="P65" s="96"/>
      <c r="Q65" s="96"/>
      <c r="R65" s="96"/>
      <c r="S65" s="96"/>
    </row>
    <row r="66" spans="1:21">
      <c r="A66" s="96"/>
      <c r="B66" s="96"/>
      <c r="C66" s="96"/>
      <c r="D66" s="114">
        <v>456081</v>
      </c>
      <c r="E66" s="54" t="s">
        <v>4362</v>
      </c>
      <c r="F66" s="96"/>
      <c r="G66" s="96"/>
      <c r="H66" s="96"/>
      <c r="I66" s="96"/>
      <c r="J66" s="96"/>
      <c r="K66" s="96"/>
      <c r="L66" s="96"/>
      <c r="M66" s="96"/>
      <c r="N66" s="96"/>
      <c r="O66" s="96"/>
      <c r="P66" s="96"/>
      <c r="Q66" s="96"/>
      <c r="R66" s="96"/>
      <c r="S66" s="96"/>
    </row>
    <row r="67" spans="1:21">
      <c r="A67" s="96"/>
      <c r="B67" s="96"/>
      <c r="C67" s="96"/>
      <c r="D67" s="114">
        <v>500000</v>
      </c>
      <c r="E67" s="54" t="s">
        <v>4364</v>
      </c>
      <c r="F67" s="96"/>
      <c r="G67" s="96"/>
      <c r="H67" s="96"/>
      <c r="I67" s="96"/>
      <c r="J67" s="96"/>
      <c r="K67" s="96"/>
      <c r="L67" s="96"/>
      <c r="M67" s="96"/>
      <c r="N67" s="96"/>
      <c r="O67" s="96"/>
      <c r="P67" s="96"/>
      <c r="Q67" s="96"/>
      <c r="R67" s="96"/>
      <c r="S67" s="96"/>
    </row>
    <row r="68" spans="1:21">
      <c r="A68" s="96"/>
      <c r="B68" s="96"/>
      <c r="C68" s="96"/>
      <c r="D68" s="114">
        <v>-65500</v>
      </c>
      <c r="E68" s="54" t="s">
        <v>4366</v>
      </c>
      <c r="F68" s="114"/>
      <c r="G68" s="54"/>
      <c r="H68" s="96"/>
      <c r="I68" s="96"/>
      <c r="J68" s="96"/>
      <c r="K68" s="96"/>
      <c r="L68" s="96"/>
      <c r="M68" s="96"/>
      <c r="N68" s="96"/>
      <c r="O68" s="96"/>
      <c r="P68" s="96"/>
      <c r="Q68" s="96"/>
      <c r="R68" s="96"/>
      <c r="S68" s="96"/>
      <c r="T68" s="96"/>
      <c r="U68" s="96"/>
    </row>
    <row r="69" spans="1:21">
      <c r="A69" s="96"/>
      <c r="B69" s="96"/>
      <c r="C69" s="96"/>
      <c r="D69" s="114">
        <v>-65000</v>
      </c>
      <c r="E69" s="54" t="s">
        <v>4367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4371</v>
      </c>
      <c r="F72" s="96"/>
      <c r="G72" s="96"/>
      <c r="H72" s="96"/>
      <c r="I72" s="96"/>
      <c r="J72" s="96"/>
      <c r="K72" s="96"/>
      <c r="L72" s="96"/>
      <c r="M72" s="96"/>
      <c r="N72" s="96"/>
      <c r="O72" s="96"/>
      <c r="P72" s="96"/>
      <c r="Q72" s="96"/>
      <c r="R72" s="96"/>
      <c r="S72" s="96"/>
    </row>
    <row r="73" spans="1:21">
      <c r="A73" s="96"/>
      <c r="B73" s="96"/>
      <c r="C73" s="96"/>
      <c r="D73" s="114">
        <v>-6701</v>
      </c>
      <c r="E73" s="54" t="s">
        <v>4369</v>
      </c>
      <c r="F73" s="96"/>
      <c r="G73" s="96"/>
      <c r="H73" s="96"/>
      <c r="I73" s="96"/>
      <c r="J73" s="96"/>
      <c r="K73" s="96"/>
      <c r="L73" s="96"/>
      <c r="M73" s="96"/>
      <c r="N73" s="96"/>
      <c r="O73" s="96"/>
      <c r="P73" s="96"/>
      <c r="Q73" s="96"/>
      <c r="R73" s="96"/>
      <c r="S73" s="96"/>
    </row>
    <row r="74" spans="1:21">
      <c r="A74" s="96"/>
      <c r="B74" s="96"/>
      <c r="C74" s="96"/>
      <c r="D74" s="114">
        <v>-8929</v>
      </c>
      <c r="E74" s="54" t="s">
        <v>4373</v>
      </c>
      <c r="F74" s="96"/>
      <c r="G74" s="96"/>
      <c r="H74" s="96"/>
      <c r="I74" s="96"/>
      <c r="J74" s="96"/>
      <c r="K74" s="96"/>
      <c r="L74" s="96"/>
      <c r="M74" s="96"/>
      <c r="N74" s="96"/>
      <c r="O74" s="96"/>
      <c r="P74" s="96"/>
      <c r="Q74" s="96"/>
      <c r="R74" s="96"/>
      <c r="S74" s="96"/>
    </row>
    <row r="75" spans="1:21">
      <c r="A75" s="96"/>
      <c r="B75" s="96"/>
      <c r="C75" s="96"/>
      <c r="D75" s="114">
        <v>448308</v>
      </c>
      <c r="E75" s="54" t="s">
        <v>4374</v>
      </c>
      <c r="F75" s="96"/>
      <c r="G75" s="96" t="s">
        <v>25</v>
      </c>
      <c r="H75" s="96"/>
      <c r="I75" s="96"/>
      <c r="J75" s="96"/>
      <c r="K75" s="96"/>
      <c r="L75" s="96"/>
      <c r="M75" s="96"/>
      <c r="N75" s="96"/>
      <c r="O75" s="96"/>
      <c r="P75" s="96"/>
      <c r="Q75" s="96"/>
      <c r="R75" s="96"/>
      <c r="S75" s="96"/>
    </row>
    <row r="76" spans="1:21">
      <c r="A76" s="96"/>
      <c r="B76" s="96"/>
      <c r="C76" s="96"/>
      <c r="D76" s="114">
        <v>-904500</v>
      </c>
      <c r="E76" s="54" t="s">
        <v>4375</v>
      </c>
      <c r="F76" s="96"/>
      <c r="G76" s="96"/>
      <c r="H76" s="96"/>
      <c r="I76" s="96"/>
      <c r="J76" s="96"/>
      <c r="K76" s="96"/>
      <c r="L76" s="96"/>
      <c r="M76" s="96"/>
      <c r="N76" s="96"/>
      <c r="O76" s="96"/>
      <c r="P76" s="96"/>
      <c r="Q76" s="96"/>
      <c r="R76" s="96"/>
      <c r="S76" s="96"/>
    </row>
    <row r="77" spans="1:21">
      <c r="A77" s="96"/>
      <c r="B77" s="96"/>
      <c r="C77" s="96"/>
      <c r="D77" s="114">
        <v>-180000</v>
      </c>
      <c r="E77" s="54" t="s">
        <v>4376</v>
      </c>
      <c r="F77" s="96"/>
      <c r="G77" s="96"/>
      <c r="H77" s="96"/>
      <c r="I77" s="96"/>
      <c r="J77" s="96"/>
      <c r="K77" s="96"/>
      <c r="L77" s="96"/>
      <c r="M77" s="96"/>
      <c r="N77" s="96"/>
      <c r="O77" s="96"/>
      <c r="P77" s="96"/>
      <c r="Q77" s="96"/>
      <c r="R77" s="96"/>
      <c r="S77" s="96"/>
    </row>
    <row r="78" spans="1:21">
      <c r="A78" s="96"/>
      <c r="B78" s="96"/>
      <c r="C78" s="96"/>
      <c r="D78" s="114">
        <v>-13583</v>
      </c>
      <c r="E78" s="54" t="s">
        <v>4377</v>
      </c>
      <c r="F78" s="96"/>
      <c r="G78" s="96"/>
      <c r="H78" s="96"/>
      <c r="I78" s="96"/>
      <c r="J78" s="96"/>
      <c r="K78" s="96"/>
      <c r="L78" s="96"/>
      <c r="M78" s="96"/>
      <c r="N78" s="96"/>
      <c r="O78" s="96"/>
      <c r="P78" s="96"/>
      <c r="Q78" s="96"/>
      <c r="R78" s="96"/>
      <c r="S78" s="96"/>
    </row>
    <row r="79" spans="1:21">
      <c r="A79" s="96"/>
      <c r="B79" s="96"/>
      <c r="C79" s="96"/>
      <c r="D79" s="114">
        <v>-52388</v>
      </c>
      <c r="E79" s="54" t="s">
        <v>4378</v>
      </c>
      <c r="F79" s="96"/>
      <c r="G79" s="96"/>
      <c r="H79" s="96"/>
      <c r="I79" s="96"/>
      <c r="J79" s="96"/>
      <c r="K79" s="96"/>
      <c r="L79" s="96"/>
      <c r="M79" s="96"/>
      <c r="N79" s="96"/>
      <c r="O79" s="96"/>
      <c r="P79" s="96"/>
      <c r="Q79" s="96"/>
      <c r="R79" s="96"/>
      <c r="S79" s="96"/>
    </row>
    <row r="80" spans="1:21">
      <c r="A80" s="96"/>
      <c r="B80" s="96"/>
      <c r="C80" s="96"/>
      <c r="D80" s="114">
        <v>-133838</v>
      </c>
      <c r="E80" s="54" t="s">
        <v>4380</v>
      </c>
      <c r="F80" s="96"/>
      <c r="G80" s="96"/>
      <c r="H80" s="96"/>
      <c r="I80" s="96"/>
      <c r="J80" s="96"/>
      <c r="K80" s="96"/>
      <c r="L80" s="96"/>
      <c r="M80" s="96"/>
      <c r="N80" s="96"/>
      <c r="O80" s="96"/>
      <c r="P80" s="96"/>
      <c r="Q80" s="96"/>
      <c r="R80" s="96"/>
      <c r="S80" s="96"/>
    </row>
    <row r="81" spans="4:5">
      <c r="D81" s="114">
        <v>6234370</v>
      </c>
      <c r="E81" s="54" t="s">
        <v>4382</v>
      </c>
    </row>
    <row r="82" spans="4:5">
      <c r="D82" s="114">
        <v>-142143</v>
      </c>
      <c r="E82" s="54" t="s">
        <v>4385</v>
      </c>
    </row>
    <row r="83" spans="4:5">
      <c r="D83" s="114">
        <v>-128352</v>
      </c>
      <c r="E83" s="54" t="s">
        <v>4384</v>
      </c>
    </row>
    <row r="84" spans="4:5">
      <c r="D84" s="114">
        <v>-6035000</v>
      </c>
      <c r="E84" s="54" t="s">
        <v>4394</v>
      </c>
    </row>
    <row r="85" spans="4:5">
      <c r="D85" s="114">
        <v>-55957</v>
      </c>
      <c r="E85" s="54" t="s">
        <v>4393</v>
      </c>
    </row>
    <row r="86" spans="4:5">
      <c r="D86" s="114">
        <v>7500</v>
      </c>
      <c r="E86" s="54" t="s">
        <v>4392</v>
      </c>
    </row>
    <row r="87" spans="4:5">
      <c r="D87" s="114">
        <v>1700000</v>
      </c>
      <c r="E87" s="54" t="s">
        <v>4395</v>
      </c>
    </row>
    <row r="88" spans="4:5">
      <c r="D88" s="114">
        <v>129648</v>
      </c>
      <c r="E88" s="54" t="s">
        <v>4396</v>
      </c>
    </row>
    <row r="89" spans="4:5">
      <c r="D89" s="114">
        <v>1000000</v>
      </c>
      <c r="E89" s="54" t="s">
        <v>4399</v>
      </c>
    </row>
    <row r="90" spans="4:5">
      <c r="D90" s="114">
        <v>-53003</v>
      </c>
      <c r="E90" s="54" t="s">
        <v>4400</v>
      </c>
    </row>
    <row r="91" spans="4:5">
      <c r="D91" s="114">
        <v>-23690</v>
      </c>
      <c r="E91" s="54" t="s">
        <v>4400</v>
      </c>
    </row>
    <row r="92" spans="4:5">
      <c r="D92" s="114">
        <v>-216910</v>
      </c>
      <c r="E92" s="54" t="s">
        <v>4401</v>
      </c>
    </row>
    <row r="93" spans="4:5">
      <c r="D93" s="114">
        <v>-30304</v>
      </c>
      <c r="E93" s="54" t="s">
        <v>4405</v>
      </c>
    </row>
    <row r="94" spans="4:5">
      <c r="D94" s="114">
        <v>-10067</v>
      </c>
      <c r="E94" s="54" t="s">
        <v>4406</v>
      </c>
    </row>
    <row r="95" spans="4:5">
      <c r="D95" s="114">
        <v>-16248</v>
      </c>
      <c r="E95" s="54" t="s">
        <v>4407</v>
      </c>
    </row>
    <row r="96" spans="4:5">
      <c r="D96" s="114">
        <v>-87695</v>
      </c>
      <c r="E96" s="54" t="s">
        <v>4408</v>
      </c>
    </row>
    <row r="97" spans="4:7">
      <c r="D97" s="114">
        <v>-29231</v>
      </c>
      <c r="E97" s="54" t="s">
        <v>4409</v>
      </c>
    </row>
    <row r="98" spans="4:7">
      <c r="D98" s="114">
        <v>1000000</v>
      </c>
      <c r="E98" s="54" t="s">
        <v>4410</v>
      </c>
    </row>
    <row r="99" spans="4:7">
      <c r="D99" s="114">
        <v>-35250</v>
      </c>
      <c r="E99" s="54" t="s">
        <v>4411</v>
      </c>
    </row>
    <row r="100" spans="4:7">
      <c r="D100" s="114">
        <v>-57477</v>
      </c>
      <c r="E100" s="54" t="s">
        <v>4412</v>
      </c>
    </row>
    <row r="101" spans="4:7">
      <c r="D101" s="114">
        <v>-13565</v>
      </c>
      <c r="E101" s="54" t="s">
        <v>4413</v>
      </c>
    </row>
    <row r="102" spans="4:7">
      <c r="D102" s="114">
        <v>-9429</v>
      </c>
      <c r="E102" s="54" t="s">
        <v>4414</v>
      </c>
    </row>
    <row r="103" spans="4:7">
      <c r="D103" s="114">
        <v>-600000</v>
      </c>
      <c r="E103" s="54" t="s">
        <v>4415</v>
      </c>
    </row>
    <row r="104" spans="4:7">
      <c r="D104" s="114">
        <v>335</v>
      </c>
      <c r="E104" s="54" t="s">
        <v>4417</v>
      </c>
    </row>
    <row r="105" spans="4:7">
      <c r="D105" s="114">
        <v>31026</v>
      </c>
      <c r="E105" s="54" t="s">
        <v>4418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4422</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4424</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4429</v>
      </c>
      <c r="B5" s="18">
        <v>1100000</v>
      </c>
      <c r="C5" s="18">
        <v>0</v>
      </c>
      <c r="D5" s="113">
        <f t="shared" si="0"/>
        <v>1100000</v>
      </c>
      <c r="E5" s="20" t="s">
        <v>4311</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4431</v>
      </c>
      <c r="B6" s="18">
        <v>3000000</v>
      </c>
      <c r="C6" s="18">
        <v>0</v>
      </c>
      <c r="D6" s="113">
        <f t="shared" si="0"/>
        <v>3000000</v>
      </c>
      <c r="E6" s="19" t="s">
        <v>4432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4428</v>
      </c>
      <c r="B7" s="18">
        <v>-2000700</v>
      </c>
      <c r="C7" s="18">
        <v>0</v>
      </c>
      <c r="D7" s="113">
        <f t="shared" si="0"/>
        <v>-2000700</v>
      </c>
      <c r="E7" s="19" t="s">
        <v>4461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4428</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4428</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4428</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4468</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4468</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4474</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4481</v>
      </c>
      <c r="B16" s="18">
        <v>12000000</v>
      </c>
      <c r="C16" s="18">
        <v>0</v>
      </c>
      <c r="D16" s="113">
        <f t="shared" si="0"/>
        <v>12000000</v>
      </c>
      <c r="E16" s="20" t="s">
        <v>4482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4483</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4485</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4486</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4486</v>
      </c>
      <c r="B20" s="18">
        <v>0</v>
      </c>
      <c r="C20" s="18">
        <v>-8034286</v>
      </c>
      <c r="D20" s="113">
        <f t="shared" si="0"/>
        <v>8034286</v>
      </c>
      <c r="E20" s="19" t="s">
        <v>4487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4486</v>
      </c>
      <c r="B21" s="18">
        <v>-10000</v>
      </c>
      <c r="C21" s="18">
        <v>0</v>
      </c>
      <c r="D21" s="113">
        <f t="shared" si="0"/>
        <v>-10000</v>
      </c>
      <c r="E21" s="19" t="s">
        <v>4488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4489</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4495</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4496</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4496</v>
      </c>
      <c r="B25" s="18">
        <v>-100500</v>
      </c>
      <c r="C25" s="18">
        <v>0</v>
      </c>
      <c r="D25" s="113">
        <f t="shared" si="0"/>
        <v>-100500</v>
      </c>
      <c r="E25" s="19" t="s">
        <v>4498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4496</v>
      </c>
      <c r="B26" s="18">
        <v>-68670</v>
      </c>
      <c r="C26" s="18">
        <v>0</v>
      </c>
      <c r="D26" s="113">
        <f t="shared" si="0"/>
        <v>-68670</v>
      </c>
      <c r="E26" s="19" t="s">
        <v>4502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4499</v>
      </c>
      <c r="B27" s="18">
        <v>-118600</v>
      </c>
      <c r="C27" s="18">
        <v>0</v>
      </c>
      <c r="D27" s="113">
        <f t="shared" si="0"/>
        <v>-118600</v>
      </c>
      <c r="E27" s="19" t="s">
        <v>4504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4509</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4509</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4509</v>
      </c>
      <c r="B30" s="18">
        <v>-389000</v>
      </c>
      <c r="C30" s="18">
        <v>0</v>
      </c>
      <c r="D30" s="113">
        <f t="shared" si="0"/>
        <v>-389000</v>
      </c>
      <c r="E30" s="19" t="s">
        <v>4511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4462</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4464</v>
      </c>
      <c r="F40" s="96"/>
      <c r="G40" s="96"/>
      <c r="H40" s="96"/>
      <c r="I40" s="96"/>
      <c r="J40" s="96"/>
      <c r="K40" s="96"/>
      <c r="L40" s="96"/>
      <c r="M40" s="96"/>
      <c r="N40" s="96"/>
      <c r="O40" s="96"/>
      <c r="P40" s="96"/>
      <c r="Q40" s="96"/>
      <c r="R40" s="96"/>
      <c r="S40" s="96"/>
      <c r="T40" s="96"/>
    </row>
    <row r="41" spans="1:20">
      <c r="A41" s="96"/>
      <c r="B41" s="96"/>
      <c r="C41" s="96"/>
      <c r="D41" s="114">
        <v>40000</v>
      </c>
      <c r="E41" s="54" t="s">
        <v>4463</v>
      </c>
      <c r="F41" s="96"/>
      <c r="G41" s="96"/>
      <c r="H41" s="96"/>
      <c r="I41" s="96"/>
      <c r="J41" s="96"/>
      <c r="K41" s="96"/>
      <c r="L41" s="96"/>
      <c r="M41" s="96"/>
      <c r="N41" s="96"/>
      <c r="O41" s="96"/>
      <c r="P41" s="96"/>
      <c r="Q41" s="96"/>
      <c r="R41" s="96"/>
      <c r="S41" s="96"/>
      <c r="T41" s="96"/>
    </row>
    <row r="42" spans="1:20">
      <c r="A42" s="96"/>
      <c r="B42" s="96"/>
      <c r="C42" s="96"/>
      <c r="D42" s="114">
        <v>-490000</v>
      </c>
      <c r="E42" s="54" t="s">
        <v>4467</v>
      </c>
      <c r="F42" s="96"/>
      <c r="G42" s="96"/>
      <c r="H42" s="96"/>
      <c r="I42" s="96"/>
      <c r="J42" s="96"/>
      <c r="K42" s="96"/>
      <c r="L42" s="96"/>
      <c r="M42" s="96"/>
      <c r="N42" s="96"/>
      <c r="O42" s="96"/>
      <c r="P42" s="96"/>
      <c r="Q42" s="96"/>
      <c r="R42" s="96"/>
      <c r="S42" s="96"/>
      <c r="T42" s="96"/>
    </row>
    <row r="43" spans="1:20">
      <c r="A43" s="96"/>
      <c r="B43" s="96"/>
      <c r="C43" s="96"/>
      <c r="D43" s="114">
        <v>-597051</v>
      </c>
      <c r="E43" s="54" t="s">
        <v>4476</v>
      </c>
      <c r="F43" s="96"/>
      <c r="G43" s="96"/>
      <c r="H43" s="96"/>
      <c r="I43" s="96"/>
      <c r="J43" s="96"/>
      <c r="K43" s="96"/>
      <c r="L43" s="96"/>
      <c r="M43" s="96"/>
      <c r="N43" s="96"/>
      <c r="O43" s="96"/>
      <c r="P43" s="96"/>
      <c r="Q43" s="96"/>
      <c r="R43" s="96"/>
      <c r="S43" s="96"/>
      <c r="T43" s="96"/>
    </row>
    <row r="44" spans="1:20">
      <c r="A44" s="96"/>
      <c r="B44" s="96"/>
      <c r="C44" s="96"/>
      <c r="D44" s="114">
        <v>13900</v>
      </c>
      <c r="E44" s="54" t="s">
        <v>4477</v>
      </c>
      <c r="F44" s="96"/>
      <c r="G44" s="96"/>
      <c r="H44" s="96"/>
      <c r="I44" s="96"/>
      <c r="J44" s="96"/>
      <c r="K44" s="96"/>
      <c r="L44" s="96"/>
      <c r="M44" s="96"/>
      <c r="N44" s="96"/>
      <c r="O44" s="96"/>
      <c r="P44" s="96"/>
      <c r="Q44" s="96"/>
      <c r="R44" s="96"/>
      <c r="S44" s="96"/>
      <c r="T44" s="96"/>
    </row>
    <row r="45" spans="1:20">
      <c r="A45" s="96"/>
      <c r="B45" s="96"/>
      <c r="C45" s="96"/>
      <c r="D45" s="114">
        <v>2000000</v>
      </c>
      <c r="E45" s="54" t="s">
        <v>4478</v>
      </c>
      <c r="F45" s="96"/>
      <c r="G45" s="96" t="s">
        <v>25</v>
      </c>
      <c r="H45" s="96"/>
      <c r="I45" s="96"/>
      <c r="J45" s="96"/>
      <c r="K45" s="96"/>
      <c r="L45" s="96"/>
      <c r="M45" s="96"/>
      <c r="N45" s="96"/>
      <c r="O45" s="96"/>
      <c r="P45" s="96"/>
      <c r="Q45" s="96"/>
      <c r="R45" s="96"/>
      <c r="S45" s="96"/>
      <c r="T45" s="96"/>
    </row>
    <row r="46" spans="1:20">
      <c r="A46" s="96"/>
      <c r="B46" s="96"/>
      <c r="C46" s="96"/>
      <c r="D46" s="114">
        <v>-300000</v>
      </c>
      <c r="E46" s="54" t="s">
        <v>4479</v>
      </c>
      <c r="F46" s="96"/>
      <c r="G46" s="96" t="s">
        <v>25</v>
      </c>
      <c r="H46" s="96"/>
      <c r="I46" s="96"/>
      <c r="J46" s="96"/>
      <c r="K46" s="96"/>
      <c r="L46" s="96"/>
      <c r="M46" s="96"/>
      <c r="N46" s="96"/>
      <c r="O46" s="96"/>
      <c r="P46" s="96"/>
      <c r="Q46" s="96"/>
      <c r="R46" s="96"/>
      <c r="S46" s="96"/>
      <c r="T46" s="96"/>
    </row>
    <row r="47" spans="1:20" ht="30">
      <c r="A47" s="96"/>
      <c r="B47" s="96"/>
      <c r="C47" s="96"/>
      <c r="D47" s="114">
        <v>300000</v>
      </c>
      <c r="E47" s="54" t="s">
        <v>4484</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4491</v>
      </c>
      <c r="F49" s="96"/>
      <c r="G49" s="96"/>
      <c r="H49" s="96" t="s">
        <v>25</v>
      </c>
      <c r="I49" s="96"/>
      <c r="J49" s="96"/>
      <c r="K49" s="96"/>
      <c r="L49" s="96"/>
      <c r="M49" s="96"/>
      <c r="N49" s="96"/>
      <c r="O49" s="96"/>
      <c r="P49" s="96"/>
      <c r="Q49" s="96"/>
      <c r="R49" s="96"/>
      <c r="S49" s="96"/>
      <c r="T49" s="96"/>
    </row>
    <row r="50" spans="1:20">
      <c r="A50" s="96"/>
      <c r="B50" s="96"/>
      <c r="C50" s="96"/>
      <c r="D50" s="114">
        <v>-55000</v>
      </c>
      <c r="E50" s="54" t="s">
        <v>4494</v>
      </c>
      <c r="F50" s="96"/>
      <c r="G50" s="96"/>
      <c r="H50" s="96"/>
      <c r="I50" s="96"/>
      <c r="J50" s="96"/>
      <c r="K50" s="96"/>
      <c r="L50" s="96"/>
      <c r="M50" s="96"/>
      <c r="N50" s="96"/>
      <c r="O50" s="96"/>
      <c r="P50" s="96"/>
      <c r="Q50" s="96"/>
      <c r="R50" s="96"/>
      <c r="S50" s="96"/>
      <c r="T50" s="96"/>
    </row>
    <row r="51" spans="1:20">
      <c r="A51" s="96"/>
      <c r="B51" s="96"/>
      <c r="C51" s="96"/>
      <c r="D51" s="114">
        <v>100500</v>
      </c>
      <c r="E51" s="54" t="s">
        <v>4498</v>
      </c>
      <c r="F51" s="96"/>
      <c r="G51" s="96"/>
      <c r="H51" s="96"/>
      <c r="I51" s="96"/>
      <c r="J51" s="96"/>
      <c r="K51" s="96"/>
      <c r="L51" s="96"/>
      <c r="M51" s="96"/>
      <c r="N51" s="96"/>
      <c r="O51" s="96"/>
      <c r="P51" s="96"/>
      <c r="Q51" s="96"/>
      <c r="R51" s="96"/>
      <c r="S51" s="96"/>
      <c r="T51" s="96"/>
    </row>
    <row r="52" spans="1:20">
      <c r="A52" s="96"/>
      <c r="B52" s="96"/>
      <c r="C52" s="96"/>
      <c r="D52" s="114">
        <v>68670</v>
      </c>
      <c r="E52" s="54" t="s">
        <v>4503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4510</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4535</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4539</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4539</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4542</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4542</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4545</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4548</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4548</v>
      </c>
      <c r="B11" s="18">
        <v>-1287000</v>
      </c>
      <c r="C11" s="18">
        <v>0</v>
      </c>
      <c r="D11" s="113">
        <f t="shared" si="0"/>
        <v>-1287000</v>
      </c>
      <c r="E11" s="19" t="s">
        <v>4549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4545</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4546</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4556</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4560</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4561</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4563</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4571</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4575</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4489</v>
      </c>
      <c r="B22" s="18">
        <v>-3995000</v>
      </c>
      <c r="C22" s="18">
        <v>0</v>
      </c>
      <c r="D22" s="113">
        <f t="shared" si="0"/>
        <v>-3995000</v>
      </c>
      <c r="E22" s="19" t="s">
        <v>4576</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4495</v>
      </c>
      <c r="B23" s="18">
        <v>-2010700</v>
      </c>
      <c r="C23" s="18">
        <v>0</v>
      </c>
      <c r="D23" s="113">
        <f t="shared" si="0"/>
        <v>-2010700</v>
      </c>
      <c r="E23" s="19" t="s">
        <v>4586</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4584</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4589</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4597</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4602</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4602</v>
      </c>
      <c r="B29" s="18">
        <v>-77315</v>
      </c>
      <c r="C29" s="18">
        <v>0</v>
      </c>
      <c r="D29" s="113">
        <f t="shared" si="0"/>
        <v>-77315</v>
      </c>
      <c r="E29" s="19" t="s">
        <v>4604</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4606</v>
      </c>
      <c r="B30" s="18">
        <v>-66850</v>
      </c>
      <c r="C30" s="18">
        <v>0</v>
      </c>
      <c r="D30" s="113">
        <f t="shared" si="0"/>
        <v>-66850</v>
      </c>
      <c r="E30" s="19" t="s">
        <v>4609</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4606</v>
      </c>
      <c r="B31" s="168">
        <v>-30000</v>
      </c>
      <c r="C31" s="168">
        <v>0</v>
      </c>
      <c r="D31" s="168">
        <f t="shared" ref="D31" si="4">B31-C31</f>
        <v>-30000</v>
      </c>
      <c r="E31" s="168" t="s">
        <v>4608</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4537</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4541</v>
      </c>
      <c r="F40" s="96"/>
      <c r="G40" s="96"/>
      <c r="H40" s="96"/>
      <c r="I40" s="96"/>
      <c r="J40" s="96"/>
      <c r="K40" s="96"/>
      <c r="L40" s="96"/>
      <c r="M40" s="96"/>
      <c r="N40" s="96"/>
      <c r="O40" s="96"/>
      <c r="P40" s="96"/>
      <c r="Q40" s="96"/>
      <c r="R40" s="96"/>
      <c r="S40" s="96"/>
    </row>
    <row r="41" spans="1:19" ht="24.75" customHeight="1">
      <c r="A41" s="96"/>
      <c r="B41" s="96"/>
      <c r="C41" s="96"/>
      <c r="D41" s="18">
        <v>3576</v>
      </c>
      <c r="E41" s="122" t="s">
        <v>4543</v>
      </c>
      <c r="F41" s="96"/>
      <c r="G41" s="96"/>
      <c r="H41" s="96"/>
      <c r="I41" s="96"/>
      <c r="J41" s="96"/>
      <c r="K41" s="96"/>
      <c r="L41" s="96"/>
      <c r="M41" s="96"/>
      <c r="N41" s="96"/>
      <c r="O41" s="96"/>
      <c r="P41" s="96"/>
      <c r="Q41" s="96"/>
      <c r="R41" s="96"/>
      <c r="S41" s="96"/>
    </row>
    <row r="42" spans="1:19" ht="30.75" customHeight="1">
      <c r="A42" s="96"/>
      <c r="B42" s="96"/>
      <c r="C42" s="96"/>
      <c r="D42" s="18">
        <v>-400000</v>
      </c>
      <c r="E42" s="122" t="s">
        <v>4544</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4550</v>
      </c>
      <c r="F44" s="96"/>
      <c r="G44" s="96"/>
      <c r="H44" s="96"/>
      <c r="I44" s="96"/>
      <c r="J44" s="96"/>
      <c r="K44" s="96"/>
      <c r="L44" s="96"/>
      <c r="M44" s="96"/>
      <c r="N44" s="96"/>
      <c r="O44" s="96"/>
      <c r="P44" s="96"/>
      <c r="Q44" s="96"/>
      <c r="R44" s="96"/>
      <c r="S44" s="96"/>
    </row>
    <row r="45" spans="1:19" ht="24.75" customHeight="1">
      <c r="A45" s="96"/>
      <c r="B45" s="96"/>
      <c r="C45" s="96"/>
      <c r="D45" s="18">
        <v>-200000</v>
      </c>
      <c r="E45" s="122" t="s">
        <v>4557</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4587</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4598</v>
      </c>
      <c r="F47" s="96" t="s">
        <v>25</v>
      </c>
      <c r="G47" s="96"/>
      <c r="H47" s="96"/>
      <c r="I47" s="96"/>
      <c r="J47" s="96"/>
      <c r="K47" s="96"/>
      <c r="L47" s="96"/>
      <c r="M47" s="96"/>
      <c r="N47" s="96"/>
      <c r="O47" s="96"/>
      <c r="P47" s="96"/>
      <c r="Q47" s="96"/>
      <c r="R47" s="96"/>
      <c r="S47" s="96"/>
    </row>
    <row r="48" spans="1:19">
      <c r="A48" s="96"/>
      <c r="B48" s="96"/>
      <c r="C48" s="96"/>
      <c r="D48" s="18">
        <v>49315</v>
      </c>
      <c r="E48" s="122" t="s">
        <v>4605</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4606</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4612</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4612</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4625</v>
      </c>
      <c r="B5" s="18">
        <v>-200000</v>
      </c>
      <c r="C5" s="18">
        <v>0</v>
      </c>
      <c r="D5" s="113">
        <f t="shared" si="0"/>
        <v>-200000</v>
      </c>
      <c r="E5" s="20" t="s">
        <v>4622</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4635</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4637</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4637</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4637</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4637</v>
      </c>
      <c r="B10" s="18">
        <v>-51400</v>
      </c>
      <c r="C10" s="18">
        <v>0</v>
      </c>
      <c r="D10" s="113">
        <f t="shared" si="0"/>
        <v>-51400</v>
      </c>
      <c r="E10" s="19" t="s">
        <v>4643</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4646</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4646</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4658</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4658</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4658</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4661</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4668</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4674</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4674</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4683</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4676</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4677</v>
      </c>
      <c r="B22" s="18">
        <v>-324747</v>
      </c>
      <c r="C22" s="18">
        <v>0</v>
      </c>
      <c r="D22" s="113">
        <f t="shared" si="0"/>
        <v>-324747</v>
      </c>
      <c r="E22" s="19" t="s">
        <v>4684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4691</v>
      </c>
      <c r="B23" s="18">
        <v>-297992</v>
      </c>
      <c r="C23" s="18">
        <v>0</v>
      </c>
      <c r="D23" s="113">
        <f t="shared" si="0"/>
        <v>-297992</v>
      </c>
      <c r="E23" s="19" t="s">
        <v>4692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4699</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4597</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4602</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4602</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4606</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4606</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4618</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4619</v>
      </c>
      <c r="F40" s="96"/>
      <c r="G40" s="96"/>
      <c r="H40" s="96"/>
      <c r="I40" s="96"/>
      <c r="J40" s="96"/>
      <c r="K40" s="96"/>
      <c r="L40" s="96"/>
      <c r="M40" s="96"/>
      <c r="N40" s="96"/>
      <c r="O40" s="96"/>
      <c r="P40" s="96"/>
      <c r="Q40" s="96"/>
      <c r="R40" s="96"/>
      <c r="S40" s="96"/>
    </row>
    <row r="41" spans="1:19">
      <c r="A41" s="96"/>
      <c r="B41" s="96"/>
      <c r="C41" s="96"/>
      <c r="D41" s="18">
        <v>47848</v>
      </c>
      <c r="E41" s="122" t="s">
        <v>4623</v>
      </c>
      <c r="F41" s="96"/>
      <c r="G41" s="96"/>
      <c r="H41" s="96"/>
      <c r="I41" s="96"/>
      <c r="J41" s="96"/>
      <c r="K41" s="96"/>
      <c r="L41" s="96"/>
      <c r="M41" s="96"/>
      <c r="N41" s="96"/>
      <c r="O41" s="96"/>
      <c r="P41" s="96"/>
      <c r="Q41" s="96"/>
      <c r="R41" s="96"/>
      <c r="S41" s="96"/>
    </row>
    <row r="42" spans="1:19">
      <c r="A42" s="96"/>
      <c r="B42" s="96"/>
      <c r="C42" s="96"/>
      <c r="D42" s="18">
        <v>200000</v>
      </c>
      <c r="E42" s="122" t="s">
        <v>4624</v>
      </c>
      <c r="F42" s="96"/>
      <c r="G42" s="96"/>
      <c r="H42" s="96"/>
      <c r="I42" s="96"/>
      <c r="J42" s="96"/>
      <c r="K42" s="96"/>
      <c r="L42" s="96"/>
      <c r="M42" s="96"/>
      <c r="N42" s="96"/>
      <c r="O42" s="96"/>
      <c r="P42" s="96"/>
      <c r="Q42" s="96"/>
      <c r="R42" s="96"/>
      <c r="S42" s="96"/>
    </row>
    <row r="43" spans="1:19">
      <c r="A43" s="96"/>
      <c r="B43" s="96"/>
      <c r="C43" s="96"/>
      <c r="D43" s="18">
        <v>60460</v>
      </c>
      <c r="E43" s="122" t="s">
        <v>4639</v>
      </c>
      <c r="F43" s="96"/>
      <c r="G43" s="96"/>
      <c r="H43" s="96"/>
      <c r="I43" s="96"/>
      <c r="J43" s="96"/>
      <c r="K43" s="96"/>
      <c r="L43" s="96"/>
      <c r="M43" s="96"/>
      <c r="N43" s="96"/>
      <c r="O43" s="96"/>
      <c r="P43" s="96"/>
      <c r="Q43" s="96"/>
      <c r="R43" s="96"/>
      <c r="S43" s="96"/>
    </row>
    <row r="44" spans="1:19">
      <c r="A44" s="96"/>
      <c r="B44" s="96"/>
      <c r="C44" s="96"/>
      <c r="D44" s="18">
        <v>-2400000</v>
      </c>
      <c r="E44" s="122" t="s">
        <v>4640</v>
      </c>
      <c r="F44" s="96"/>
      <c r="G44" s="96"/>
      <c r="H44" s="96"/>
      <c r="I44" s="96"/>
      <c r="J44" s="96"/>
      <c r="K44" s="96"/>
      <c r="L44" s="96"/>
      <c r="M44" s="96"/>
      <c r="N44" s="96"/>
      <c r="O44" s="96"/>
      <c r="P44" s="96"/>
      <c r="Q44" s="96"/>
      <c r="R44" s="96"/>
      <c r="S44" s="96"/>
    </row>
    <row r="45" spans="1:19">
      <c r="A45" s="96"/>
      <c r="B45" s="96"/>
      <c r="C45" s="96"/>
      <c r="D45" s="18">
        <v>135487</v>
      </c>
      <c r="E45" s="122" t="s">
        <v>4641</v>
      </c>
      <c r="F45" s="96"/>
      <c r="G45" s="96" t="s">
        <v>25</v>
      </c>
      <c r="H45" s="96"/>
      <c r="I45" s="96"/>
      <c r="J45" s="96"/>
      <c r="K45" s="96"/>
      <c r="L45" s="96"/>
      <c r="M45" s="96"/>
      <c r="N45" s="96"/>
      <c r="O45" s="96"/>
      <c r="P45" s="96"/>
      <c r="Q45" s="96"/>
      <c r="R45" s="96"/>
      <c r="S45" s="96"/>
    </row>
    <row r="46" spans="1:19">
      <c r="A46" s="96"/>
      <c r="B46" s="96"/>
      <c r="C46" s="96"/>
      <c r="D46" s="18">
        <v>347153</v>
      </c>
      <c r="E46" s="122" t="s">
        <v>4642</v>
      </c>
      <c r="F46" s="96"/>
      <c r="G46" s="96" t="s">
        <v>25</v>
      </c>
      <c r="H46" s="96"/>
      <c r="I46" s="96"/>
      <c r="J46" s="96"/>
      <c r="K46" s="96"/>
      <c r="L46" s="96"/>
      <c r="M46" s="96"/>
      <c r="N46" s="96"/>
      <c r="O46" s="96"/>
      <c r="P46" s="96"/>
      <c r="Q46" s="96"/>
      <c r="R46" s="96"/>
      <c r="S46" s="96"/>
    </row>
    <row r="47" spans="1:19">
      <c r="A47" s="96"/>
      <c r="B47" s="96"/>
      <c r="C47" s="96"/>
      <c r="D47" s="18">
        <v>51400</v>
      </c>
      <c r="E47" s="122" t="s">
        <v>4643</v>
      </c>
      <c r="F47" s="96" t="s">
        <v>25</v>
      </c>
      <c r="G47" s="96"/>
      <c r="H47" s="96"/>
      <c r="I47" s="96"/>
      <c r="J47" s="96"/>
      <c r="K47" s="96"/>
      <c r="L47" s="96"/>
      <c r="M47" s="96"/>
      <c r="N47" s="96"/>
      <c r="O47" s="96"/>
      <c r="P47" s="96"/>
      <c r="Q47" s="96"/>
      <c r="R47" s="96"/>
      <c r="S47" s="96"/>
    </row>
    <row r="48" spans="1:19">
      <c r="A48" s="96"/>
      <c r="B48" s="96"/>
      <c r="C48" s="96"/>
      <c r="D48" s="18">
        <v>-200000</v>
      </c>
      <c r="E48" s="122" t="s">
        <v>4647</v>
      </c>
      <c r="F48" s="96"/>
      <c r="G48" s="96"/>
      <c r="H48" s="96"/>
      <c r="I48" s="96"/>
      <c r="J48" s="96"/>
      <c r="K48" s="96"/>
      <c r="L48" s="96"/>
      <c r="M48" s="96"/>
      <c r="N48" s="96"/>
      <c r="O48" s="96"/>
      <c r="P48" s="96"/>
      <c r="Q48" s="96"/>
      <c r="R48" s="96"/>
      <c r="S48" s="96"/>
    </row>
    <row r="49" spans="1:19">
      <c r="A49" s="96"/>
      <c r="B49" s="96"/>
      <c r="C49" s="96"/>
      <c r="D49" s="18">
        <v>-400000</v>
      </c>
      <c r="E49" s="122" t="s">
        <v>4653</v>
      </c>
      <c r="F49" s="96"/>
      <c r="G49" s="96"/>
      <c r="H49" s="96" t="s">
        <v>25</v>
      </c>
      <c r="I49" s="96"/>
      <c r="J49" s="96"/>
      <c r="K49" s="96"/>
      <c r="L49" s="96"/>
      <c r="M49" s="96"/>
      <c r="N49" s="96"/>
      <c r="O49" s="96"/>
      <c r="P49" s="96"/>
      <c r="Q49" s="96"/>
      <c r="R49" s="96"/>
      <c r="S49" s="96"/>
    </row>
    <row r="50" spans="1:19">
      <c r="A50" s="96"/>
      <c r="B50" s="96"/>
      <c r="C50" s="96"/>
      <c r="D50" s="18">
        <v>-200000</v>
      </c>
      <c r="E50" s="122" t="s">
        <v>4654</v>
      </c>
      <c r="F50" s="96"/>
      <c r="G50" s="96"/>
      <c r="H50" s="96"/>
      <c r="I50" s="96"/>
      <c r="J50" s="96"/>
      <c r="K50" s="96"/>
      <c r="L50" s="96"/>
      <c r="M50" s="96"/>
      <c r="N50" s="96"/>
      <c r="O50" s="96"/>
      <c r="P50" s="96"/>
      <c r="Q50" s="96"/>
      <c r="R50" s="96"/>
      <c r="S50" s="96"/>
    </row>
    <row r="51" spans="1:19">
      <c r="A51" s="96"/>
      <c r="B51" s="96"/>
      <c r="C51" s="96"/>
      <c r="D51" s="18">
        <v>276773</v>
      </c>
      <c r="E51" s="122" t="s">
        <v>4659</v>
      </c>
      <c r="F51" s="96"/>
      <c r="G51" s="96"/>
      <c r="H51" s="96"/>
      <c r="I51" s="96"/>
      <c r="J51" s="96"/>
      <c r="K51" s="96"/>
      <c r="L51" s="96"/>
      <c r="M51" s="96"/>
      <c r="N51" s="96"/>
      <c r="O51" s="96"/>
      <c r="P51" s="96"/>
      <c r="Q51" s="96"/>
      <c r="R51" s="96"/>
      <c r="S51" s="96"/>
    </row>
    <row r="52" spans="1:19">
      <c r="A52" s="96"/>
      <c r="B52" s="96"/>
      <c r="C52" s="96"/>
      <c r="D52" s="18">
        <v>114710</v>
      </c>
      <c r="E52" s="122" t="s">
        <v>4662</v>
      </c>
      <c r="F52" s="114" t="s">
        <v>25</v>
      </c>
      <c r="G52" s="41" t="s">
        <v>25</v>
      </c>
      <c r="H52" s="96"/>
      <c r="I52" s="96"/>
      <c r="J52" s="96"/>
      <c r="K52" s="96"/>
      <c r="L52" s="96"/>
      <c r="M52" s="96"/>
      <c r="N52" s="96"/>
      <c r="O52" s="96"/>
      <c r="P52" s="96"/>
      <c r="Q52" s="96"/>
      <c r="R52" s="96"/>
      <c r="S52" s="96"/>
    </row>
    <row r="53" spans="1:19">
      <c r="A53" s="96"/>
      <c r="B53" s="96"/>
      <c r="C53" s="96"/>
      <c r="D53" s="18">
        <v>55120</v>
      </c>
      <c r="E53" s="122" t="s">
        <v>4675</v>
      </c>
      <c r="F53" s="114"/>
      <c r="G53" s="41"/>
      <c r="H53" s="96"/>
      <c r="I53" s="96"/>
      <c r="J53" s="96"/>
      <c r="K53" s="96"/>
      <c r="L53" s="96"/>
      <c r="M53" s="96"/>
      <c r="N53" s="96"/>
      <c r="O53" s="96"/>
      <c r="P53" s="96"/>
      <c r="Q53" s="96"/>
      <c r="R53" s="96"/>
      <c r="S53" s="96"/>
    </row>
    <row r="54" spans="1:19">
      <c r="A54" s="96"/>
      <c r="B54" s="96"/>
      <c r="C54" s="96"/>
      <c r="D54" s="18">
        <v>115000</v>
      </c>
      <c r="E54" s="122" t="s">
        <v>4680</v>
      </c>
      <c r="F54" s="114"/>
      <c r="G54" s="41"/>
      <c r="H54" s="96"/>
      <c r="I54" s="96"/>
      <c r="J54" s="96"/>
      <c r="K54" s="96"/>
      <c r="L54" s="96"/>
      <c r="M54" s="96"/>
      <c r="N54" s="96"/>
      <c r="O54" s="96"/>
      <c r="P54" s="96"/>
      <c r="Q54" s="96"/>
      <c r="R54" s="96"/>
      <c r="S54" s="96"/>
    </row>
    <row r="55" spans="1:19">
      <c r="A55" s="96"/>
      <c r="B55" s="96"/>
      <c r="C55" s="96"/>
      <c r="D55" s="18">
        <v>247560</v>
      </c>
      <c r="E55" s="122" t="s">
        <v>4681</v>
      </c>
      <c r="F55" s="114"/>
      <c r="G55" s="41"/>
      <c r="H55" s="96"/>
      <c r="I55" s="96"/>
      <c r="J55" s="96"/>
      <c r="K55" s="96"/>
      <c r="L55" s="96"/>
      <c r="M55" s="96"/>
      <c r="N55" s="96"/>
      <c r="O55" s="96"/>
      <c r="P55" s="96"/>
      <c r="Q55" s="96"/>
      <c r="R55" s="96"/>
      <c r="S55" s="96"/>
    </row>
    <row r="56" spans="1:19">
      <c r="A56" s="96"/>
      <c r="B56" s="96"/>
      <c r="C56" s="96"/>
      <c r="D56" s="18">
        <v>77187</v>
      </c>
      <c r="E56" s="122" t="s">
        <v>4682</v>
      </c>
      <c r="F56" s="96"/>
      <c r="G56" s="96"/>
      <c r="H56" s="96" t="s">
        <v>25</v>
      </c>
      <c r="I56" s="96"/>
      <c r="J56" s="96"/>
      <c r="K56" s="96"/>
      <c r="L56" s="96"/>
      <c r="M56" s="96"/>
      <c r="N56" s="96"/>
      <c r="O56" s="96"/>
      <c r="P56" s="96"/>
      <c r="Q56" s="96"/>
      <c r="R56" s="96"/>
      <c r="S56" s="96"/>
    </row>
    <row r="57" spans="1:19">
      <c r="A57" s="96"/>
      <c r="B57" s="96"/>
      <c r="C57" s="96"/>
      <c r="D57" s="18">
        <v>-140000</v>
      </c>
      <c r="E57" s="122" t="s">
        <v>4685</v>
      </c>
      <c r="F57" s="96"/>
      <c r="G57" s="96"/>
      <c r="H57" s="96"/>
      <c r="I57" s="96"/>
      <c r="J57" s="96"/>
      <c r="K57" s="96"/>
      <c r="L57" s="96"/>
      <c r="M57" s="96"/>
      <c r="N57" s="96"/>
      <c r="O57" s="96"/>
      <c r="P57" s="96"/>
      <c r="Q57" s="96"/>
      <c r="R57" s="96"/>
      <c r="S57" s="96"/>
    </row>
    <row r="58" spans="1:19">
      <c r="A58" s="96"/>
      <c r="B58" s="96"/>
      <c r="C58" s="96"/>
      <c r="D58" s="18">
        <v>-1600000</v>
      </c>
      <c r="E58" s="122" t="s">
        <v>4686</v>
      </c>
      <c r="F58" s="96"/>
      <c r="G58" s="96"/>
      <c r="H58" s="96"/>
      <c r="I58" s="96"/>
      <c r="J58" s="96"/>
      <c r="K58" s="96"/>
      <c r="L58" s="96"/>
      <c r="M58" s="96"/>
      <c r="N58" s="96"/>
      <c r="O58" s="96"/>
      <c r="P58" s="96"/>
      <c r="Q58" s="96"/>
      <c r="R58" s="96"/>
      <c r="S58" s="96"/>
    </row>
    <row r="59" spans="1:19">
      <c r="A59" s="96"/>
      <c r="B59" s="96"/>
      <c r="C59" s="96"/>
      <c r="D59" s="18">
        <v>-2000</v>
      </c>
      <c r="E59" s="122" t="s">
        <v>4693</v>
      </c>
      <c r="F59" s="96"/>
      <c r="G59" s="96"/>
      <c r="H59" s="96"/>
      <c r="I59" s="96"/>
      <c r="J59" s="96"/>
      <c r="K59" s="96"/>
      <c r="L59" s="96"/>
      <c r="M59" s="96"/>
      <c r="N59" s="96"/>
      <c r="O59" s="96"/>
      <c r="P59" s="96"/>
      <c r="Q59" s="96"/>
      <c r="R59" s="96"/>
      <c r="S59" s="96"/>
    </row>
    <row r="60" spans="1:19">
      <c r="A60" s="96"/>
      <c r="B60" s="96"/>
      <c r="C60" s="96"/>
      <c r="D60" s="18">
        <v>40000</v>
      </c>
      <c r="E60" s="122" t="s">
        <v>4704</v>
      </c>
      <c r="F60" s="96"/>
      <c r="G60" s="96"/>
      <c r="H60" s="96"/>
      <c r="I60" s="96"/>
      <c r="J60" s="96"/>
      <c r="K60" s="96"/>
      <c r="L60" s="96"/>
      <c r="M60" s="96"/>
      <c r="N60" s="96"/>
      <c r="O60" s="96"/>
      <c r="P60" s="96"/>
      <c r="Q60" s="96"/>
      <c r="R60" s="96"/>
      <c r="S60" s="96"/>
    </row>
    <row r="61" spans="1:19">
      <c r="A61" s="96"/>
      <c r="B61" s="96"/>
      <c r="C61" s="96"/>
      <c r="D61" s="18">
        <v>-146877</v>
      </c>
      <c r="E61" s="122" t="s">
        <v>4705</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4276</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4295</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4300</v>
      </c>
      <c r="B226" s="18">
        <v>-3200000</v>
      </c>
      <c r="C226" s="18">
        <v>0</v>
      </c>
      <c r="D226" s="18">
        <f t="shared" si="18"/>
        <v>-3200000</v>
      </c>
      <c r="E226" s="99" t="s">
        <v>4310</v>
      </c>
      <c r="F226" s="99">
        <v>0</v>
      </c>
      <c r="G226" s="36">
        <f t="shared" si="21"/>
        <v>150</v>
      </c>
      <c r="H226" s="99">
        <f t="shared" si="15"/>
        <v>0</v>
      </c>
      <c r="I226" s="99">
        <f t="shared" si="13"/>
        <v>-480000000</v>
      </c>
      <c r="J226" s="99">
        <f t="shared" si="20"/>
        <v>0</v>
      </c>
      <c r="K226" s="99">
        <f t="shared" si="17"/>
        <v>-480000000</v>
      </c>
    </row>
    <row r="227" spans="1:13">
      <c r="A227" s="99" t="s">
        <v>4300</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4325</v>
      </c>
      <c r="B228" s="18">
        <v>-50000</v>
      </c>
      <c r="C228" s="18">
        <v>0</v>
      </c>
      <c r="D228" s="18">
        <f t="shared" si="18"/>
        <v>-50000</v>
      </c>
      <c r="E228" s="99" t="s">
        <v>4329</v>
      </c>
      <c r="F228" s="99">
        <v>1</v>
      </c>
      <c r="G228" s="36">
        <f t="shared" si="21"/>
        <v>148</v>
      </c>
      <c r="H228" s="99">
        <f t="shared" si="15"/>
        <v>0</v>
      </c>
      <c r="I228" s="99">
        <f t="shared" si="13"/>
        <v>-7400000</v>
      </c>
      <c r="J228" s="99">
        <f t="shared" si="20"/>
        <v>0</v>
      </c>
      <c r="K228" s="99">
        <f t="shared" si="17"/>
        <v>-7400000</v>
      </c>
    </row>
    <row r="229" spans="1:13">
      <c r="A229" s="99" t="s">
        <v>4319</v>
      </c>
      <c r="B229" s="18">
        <v>-4100700</v>
      </c>
      <c r="C229" s="18">
        <v>0</v>
      </c>
      <c r="D229" s="18">
        <f t="shared" si="18"/>
        <v>-4100700</v>
      </c>
      <c r="E229" s="99" t="s">
        <v>4330</v>
      </c>
      <c r="F229" s="99">
        <v>4</v>
      </c>
      <c r="G229" s="36">
        <f t="shared" si="21"/>
        <v>147</v>
      </c>
      <c r="H229" s="99">
        <f t="shared" si="15"/>
        <v>0</v>
      </c>
      <c r="I229" s="99">
        <f t="shared" si="13"/>
        <v>-602802900</v>
      </c>
      <c r="J229" s="99">
        <f t="shared" si="20"/>
        <v>0</v>
      </c>
      <c r="K229" s="99">
        <f t="shared" si="17"/>
        <v>-602802900</v>
      </c>
    </row>
    <row r="230" spans="1:13">
      <c r="A230" s="99" t="s">
        <v>4336</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4336</v>
      </c>
      <c r="B231" s="18">
        <v>-3000900</v>
      </c>
      <c r="C231" s="18">
        <v>0</v>
      </c>
      <c r="D231" s="18">
        <f t="shared" si="18"/>
        <v>-3000900</v>
      </c>
      <c r="E231" s="99" t="s">
        <v>4344</v>
      </c>
      <c r="F231" s="99">
        <v>1</v>
      </c>
      <c r="G231" s="36">
        <f t="shared" si="21"/>
        <v>143</v>
      </c>
      <c r="H231" s="99">
        <f t="shared" si="15"/>
        <v>0</v>
      </c>
      <c r="I231" s="99">
        <f t="shared" si="13"/>
        <v>-429128700</v>
      </c>
      <c r="J231" s="99">
        <f t="shared" si="20"/>
        <v>0</v>
      </c>
      <c r="K231" s="99">
        <f t="shared" si="17"/>
        <v>-429128700</v>
      </c>
    </row>
    <row r="232" spans="1:13">
      <c r="A232" s="99" t="s">
        <v>4337</v>
      </c>
      <c r="B232" s="18">
        <v>-3000900</v>
      </c>
      <c r="C232" s="18">
        <v>0</v>
      </c>
      <c r="D232" s="18">
        <f t="shared" si="18"/>
        <v>-3000900</v>
      </c>
      <c r="E232" s="99" t="s">
        <v>4344</v>
      </c>
      <c r="F232" s="99">
        <v>0</v>
      </c>
      <c r="G232" s="36">
        <f t="shared" si="21"/>
        <v>142</v>
      </c>
      <c r="H232" s="99">
        <f t="shared" si="15"/>
        <v>0</v>
      </c>
      <c r="I232" s="99">
        <f t="shared" si="13"/>
        <v>-426127800</v>
      </c>
      <c r="J232" s="99">
        <f t="shared" si="20"/>
        <v>0</v>
      </c>
      <c r="K232" s="99">
        <f t="shared" si="17"/>
        <v>-426127800</v>
      </c>
    </row>
    <row r="233" spans="1:13">
      <c r="A233" s="99" t="s">
        <v>4337</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4356</v>
      </c>
      <c r="B234" s="18">
        <v>-138360</v>
      </c>
      <c r="C234" s="18">
        <v>0</v>
      </c>
      <c r="D234" s="18">
        <f t="shared" si="18"/>
        <v>-138360</v>
      </c>
      <c r="E234" s="99" t="s">
        <v>4358</v>
      </c>
      <c r="F234" s="99">
        <v>1</v>
      </c>
      <c r="G234" s="36">
        <f t="shared" si="21"/>
        <v>141</v>
      </c>
      <c r="H234" s="99">
        <f t="shared" si="15"/>
        <v>0</v>
      </c>
      <c r="I234" s="99">
        <f t="shared" si="13"/>
        <v>-19508760</v>
      </c>
      <c r="J234" s="99">
        <f t="shared" si="20"/>
        <v>0</v>
      </c>
      <c r="K234" s="99">
        <f t="shared" si="17"/>
        <v>-19508760</v>
      </c>
    </row>
    <row r="235" spans="1:13">
      <c r="A235" s="99" t="s">
        <v>4359</v>
      </c>
      <c r="B235" s="18">
        <v>-3000900</v>
      </c>
      <c r="C235" s="18">
        <v>0</v>
      </c>
      <c r="D235" s="18">
        <f t="shared" si="18"/>
        <v>-3000900</v>
      </c>
      <c r="E235" s="99" t="s">
        <v>4344</v>
      </c>
      <c r="F235" s="99">
        <v>2</v>
      </c>
      <c r="G235" s="36">
        <f t="shared" si="21"/>
        <v>140</v>
      </c>
      <c r="H235" s="99">
        <f t="shared" si="15"/>
        <v>0</v>
      </c>
      <c r="I235" s="99">
        <f t="shared" si="13"/>
        <v>-420126000</v>
      </c>
      <c r="J235" s="99">
        <f t="shared" si="20"/>
        <v>0</v>
      </c>
      <c r="K235" s="99">
        <f t="shared" si="17"/>
        <v>-420126000</v>
      </c>
      <c r="M235" t="s">
        <v>25</v>
      </c>
    </row>
    <row r="236" spans="1:13">
      <c r="A236" s="99" t="s">
        <v>4365</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4381</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4387</v>
      </c>
      <c r="B238" s="18">
        <v>-7500</v>
      </c>
      <c r="C238" s="18">
        <v>0</v>
      </c>
      <c r="D238" s="18">
        <f t="shared" si="18"/>
        <v>-7500</v>
      </c>
      <c r="E238" s="99" t="s">
        <v>4388</v>
      </c>
      <c r="F238" s="99">
        <v>1</v>
      </c>
      <c r="G238" s="36">
        <f t="shared" si="21"/>
        <v>132</v>
      </c>
      <c r="H238" s="99">
        <f t="shared" si="15"/>
        <v>0</v>
      </c>
      <c r="I238" s="99">
        <f t="shared" si="13"/>
        <v>-990000</v>
      </c>
      <c r="J238" s="99">
        <f t="shared" si="20"/>
        <v>0</v>
      </c>
      <c r="K238" s="99">
        <f t="shared" si="17"/>
        <v>-990000</v>
      </c>
    </row>
    <row r="239" spans="1:13">
      <c r="A239" s="99" t="s">
        <v>4389</v>
      </c>
      <c r="B239" s="18">
        <v>-4098523</v>
      </c>
      <c r="C239" s="18">
        <v>0</v>
      </c>
      <c r="D239" s="18">
        <f t="shared" si="18"/>
        <v>-4098523</v>
      </c>
      <c r="E239" s="99" t="s">
        <v>4390</v>
      </c>
      <c r="F239" s="99">
        <v>0</v>
      </c>
      <c r="G239" s="36">
        <f t="shared" si="21"/>
        <v>131</v>
      </c>
      <c r="H239" s="99">
        <f t="shared" si="15"/>
        <v>0</v>
      </c>
      <c r="I239" s="99">
        <f t="shared" si="13"/>
        <v>-536906513</v>
      </c>
      <c r="J239" s="99">
        <f t="shared" si="20"/>
        <v>0</v>
      </c>
      <c r="K239" s="99">
        <f t="shared" si="17"/>
        <v>-536906513</v>
      </c>
    </row>
    <row r="240" spans="1:13">
      <c r="A240" s="99" t="s">
        <v>4391</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4391</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4422</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4424</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4429</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4431</v>
      </c>
      <c r="B245" s="18">
        <v>3000000</v>
      </c>
      <c r="C245" s="18">
        <v>0</v>
      </c>
      <c r="D245" s="18">
        <f t="shared" si="18"/>
        <v>3000000</v>
      </c>
      <c r="E245" s="99" t="s">
        <v>4433</v>
      </c>
      <c r="F245" s="99">
        <v>2</v>
      </c>
      <c r="G245" s="36">
        <f t="shared" si="21"/>
        <v>118</v>
      </c>
      <c r="H245" s="99">
        <f t="shared" si="15"/>
        <v>1</v>
      </c>
      <c r="I245" s="99">
        <f t="shared" si="13"/>
        <v>351000000</v>
      </c>
      <c r="J245" s="99">
        <f t="shared" si="20"/>
        <v>0</v>
      </c>
      <c r="K245" s="99">
        <f t="shared" si="17"/>
        <v>351000000</v>
      </c>
    </row>
    <row r="246" spans="1:13">
      <c r="A246" s="99" t="s">
        <v>4428</v>
      </c>
      <c r="B246" s="18">
        <v>-4040700</v>
      </c>
      <c r="C246" s="18">
        <v>0</v>
      </c>
      <c r="D246" s="18">
        <f t="shared" si="18"/>
        <v>-4040700</v>
      </c>
      <c r="E246" s="99" t="s">
        <v>4465</v>
      </c>
      <c r="F246" s="99">
        <v>0</v>
      </c>
      <c r="G246" s="36">
        <f t="shared" si="21"/>
        <v>116</v>
      </c>
      <c r="H246" s="99">
        <f t="shared" si="15"/>
        <v>0</v>
      </c>
      <c r="I246" s="99">
        <f t="shared" si="13"/>
        <v>-468721200</v>
      </c>
      <c r="J246" s="99">
        <f t="shared" si="20"/>
        <v>0</v>
      </c>
      <c r="K246" s="99">
        <f t="shared" si="17"/>
        <v>-468721200</v>
      </c>
    </row>
    <row r="247" spans="1:13">
      <c r="A247" s="99" t="s">
        <v>4428</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4468</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4468</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4474</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4481</v>
      </c>
      <c r="B253" s="18">
        <v>12000000</v>
      </c>
      <c r="C253" s="18">
        <v>0</v>
      </c>
      <c r="D253" s="18">
        <f t="shared" si="18"/>
        <v>12000000</v>
      </c>
      <c r="E253" s="99" t="s">
        <v>4482</v>
      </c>
      <c r="F253" s="99">
        <v>1</v>
      </c>
      <c r="G253" s="36">
        <f t="shared" si="21"/>
        <v>111</v>
      </c>
      <c r="H253" s="99">
        <f t="shared" si="15"/>
        <v>1</v>
      </c>
      <c r="I253" s="99">
        <f t="shared" si="13"/>
        <v>1320000000</v>
      </c>
      <c r="J253" s="99">
        <f t="shared" si="20"/>
        <v>0</v>
      </c>
      <c r="K253" s="99">
        <f t="shared" si="17"/>
        <v>1320000000</v>
      </c>
    </row>
    <row r="254" spans="1:13">
      <c r="A254" s="99" t="s">
        <v>4483</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4485</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4486</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4486</v>
      </c>
      <c r="B257" s="18">
        <v>0</v>
      </c>
      <c r="C257" s="39">
        <v>-7968789</v>
      </c>
      <c r="D257" s="39">
        <f t="shared" si="18"/>
        <v>7968789</v>
      </c>
      <c r="E257" s="99" t="s">
        <v>4487</v>
      </c>
      <c r="F257" s="99">
        <v>1</v>
      </c>
      <c r="G257" s="36">
        <f t="shared" si="21"/>
        <v>108</v>
      </c>
      <c r="H257" s="99">
        <f t="shared" si="15"/>
        <v>0</v>
      </c>
      <c r="I257" s="99">
        <f t="shared" si="13"/>
        <v>0</v>
      </c>
      <c r="J257" s="99">
        <f t="shared" si="20"/>
        <v>-860629212</v>
      </c>
      <c r="K257" s="99">
        <f t="shared" si="17"/>
        <v>860629212</v>
      </c>
    </row>
    <row r="258" spans="1:13">
      <c r="A258" s="99" t="s">
        <v>4489</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4495</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4496</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4496</v>
      </c>
      <c r="B261" s="18">
        <v>-100500</v>
      </c>
      <c r="C261" s="18">
        <v>0</v>
      </c>
      <c r="D261" s="18">
        <f t="shared" si="18"/>
        <v>-100500</v>
      </c>
      <c r="E261" s="99" t="s">
        <v>4498</v>
      </c>
      <c r="F261" s="99">
        <v>0</v>
      </c>
      <c r="G261" s="36">
        <f t="shared" si="21"/>
        <v>103</v>
      </c>
      <c r="H261" s="99">
        <f t="shared" si="15"/>
        <v>0</v>
      </c>
      <c r="I261" s="99">
        <f t="shared" si="13"/>
        <v>-10351500</v>
      </c>
      <c r="J261" s="99">
        <f t="shared" si="20"/>
        <v>0</v>
      </c>
      <c r="K261" s="99">
        <f t="shared" si="17"/>
        <v>-10351500</v>
      </c>
    </row>
    <row r="262" spans="1:13">
      <c r="A262" s="99" t="s">
        <v>4496</v>
      </c>
      <c r="B262" s="18">
        <v>-68670</v>
      </c>
      <c r="C262" s="18">
        <v>0</v>
      </c>
      <c r="D262" s="18">
        <f t="shared" si="18"/>
        <v>-68670</v>
      </c>
      <c r="E262" s="99" t="s">
        <v>4502</v>
      </c>
      <c r="F262" s="99">
        <v>1</v>
      </c>
      <c r="G262" s="36">
        <f t="shared" si="21"/>
        <v>103</v>
      </c>
      <c r="H262" s="99">
        <f t="shared" si="15"/>
        <v>0</v>
      </c>
      <c r="I262" s="99">
        <f t="shared" si="13"/>
        <v>-7073010</v>
      </c>
      <c r="J262" s="99">
        <f t="shared" si="20"/>
        <v>0</v>
      </c>
      <c r="K262" s="99">
        <f t="shared" si="17"/>
        <v>-7073010</v>
      </c>
    </row>
    <row r="263" spans="1:13">
      <c r="A263" s="99" t="s">
        <v>4499</v>
      </c>
      <c r="B263" s="18">
        <v>-118600</v>
      </c>
      <c r="C263" s="18">
        <v>0</v>
      </c>
      <c r="D263" s="18">
        <f t="shared" si="18"/>
        <v>-118600</v>
      </c>
      <c r="E263" s="99" t="s">
        <v>4390</v>
      </c>
      <c r="F263" s="99">
        <v>2</v>
      </c>
      <c r="G263" s="36">
        <f t="shared" si="21"/>
        <v>102</v>
      </c>
      <c r="H263" s="99">
        <f t="shared" si="15"/>
        <v>0</v>
      </c>
      <c r="I263" s="99">
        <f t="shared" si="13"/>
        <v>-12097200</v>
      </c>
      <c r="J263" s="99">
        <f t="shared" si="20"/>
        <v>0</v>
      </c>
      <c r="K263" s="99">
        <f t="shared" si="17"/>
        <v>-12097200</v>
      </c>
      <c r="L263" t="s">
        <v>25</v>
      </c>
    </row>
    <row r="264" spans="1:13">
      <c r="A264" s="99" t="s">
        <v>4509</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4509</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4509</v>
      </c>
      <c r="B266" s="18">
        <v>-389000</v>
      </c>
      <c r="C266" s="18">
        <v>0</v>
      </c>
      <c r="D266" s="18">
        <f t="shared" si="18"/>
        <v>-389000</v>
      </c>
      <c r="E266" s="99" t="s">
        <v>4512</v>
      </c>
      <c r="F266" s="99">
        <v>4</v>
      </c>
      <c r="G266" s="36">
        <f t="shared" si="21"/>
        <v>100</v>
      </c>
      <c r="H266" s="99">
        <f t="shared" si="15"/>
        <v>0</v>
      </c>
      <c r="I266" s="99">
        <f t="shared" si="13"/>
        <v>-38900000</v>
      </c>
      <c r="J266" s="99">
        <f t="shared" si="20"/>
        <v>0</v>
      </c>
      <c r="K266" s="99">
        <f t="shared" si="17"/>
        <v>-38900000</v>
      </c>
      <c r="M266" t="s">
        <v>25</v>
      </c>
    </row>
    <row r="267" spans="1:13">
      <c r="A267" s="99" t="s">
        <v>4535</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4539</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4539</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4542</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4542</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4545</v>
      </c>
      <c r="B273" s="18">
        <v>-900000</v>
      </c>
      <c r="C273" s="18">
        <v>0</v>
      </c>
      <c r="D273" s="18">
        <f t="shared" si="18"/>
        <v>-900000</v>
      </c>
      <c r="E273" s="99" t="s">
        <v>4551</v>
      </c>
      <c r="F273" s="99">
        <v>1</v>
      </c>
      <c r="G273" s="36">
        <f t="shared" si="21"/>
        <v>92</v>
      </c>
      <c r="H273" s="99">
        <f t="shared" si="15"/>
        <v>0</v>
      </c>
      <c r="I273" s="99">
        <f t="shared" si="13"/>
        <v>-82800000</v>
      </c>
      <c r="J273" s="99">
        <f t="shared" si="20"/>
        <v>0</v>
      </c>
      <c r="K273" s="99">
        <f t="shared" si="17"/>
        <v>-82800000</v>
      </c>
    </row>
    <row r="274" spans="1:12">
      <c r="A274" s="99" t="s">
        <v>4548</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4548</v>
      </c>
      <c r="B275" s="18">
        <v>-1287000</v>
      </c>
      <c r="C275" s="18">
        <v>0</v>
      </c>
      <c r="D275" s="18">
        <f t="shared" si="18"/>
        <v>-1287000</v>
      </c>
      <c r="E275" s="99" t="s">
        <v>4549</v>
      </c>
      <c r="F275" s="99">
        <v>2</v>
      </c>
      <c r="G275" s="36">
        <f t="shared" si="21"/>
        <v>91</v>
      </c>
      <c r="H275" s="99">
        <f t="shared" si="15"/>
        <v>0</v>
      </c>
      <c r="I275" s="99">
        <f t="shared" si="13"/>
        <v>-117117000</v>
      </c>
      <c r="J275" s="99">
        <f t="shared" si="20"/>
        <v>0</v>
      </c>
      <c r="K275" s="99">
        <f t="shared" si="17"/>
        <v>-117117000</v>
      </c>
    </row>
    <row r="276" spans="1:12">
      <c r="A276" s="99" t="s">
        <v>4546</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4556</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4560</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4561</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4563</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4575</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4575</v>
      </c>
      <c r="B285" s="18">
        <v>-3995000</v>
      </c>
      <c r="C285" s="18">
        <v>0</v>
      </c>
      <c r="D285" s="18">
        <f t="shared" si="18"/>
        <v>-3995000</v>
      </c>
      <c r="E285" s="99" t="s">
        <v>4576</v>
      </c>
      <c r="F285" s="99">
        <v>3</v>
      </c>
      <c r="G285" s="36">
        <f t="shared" si="21"/>
        <v>78</v>
      </c>
      <c r="H285" s="99">
        <f t="shared" si="15"/>
        <v>0</v>
      </c>
      <c r="I285" s="99">
        <f t="shared" si="13"/>
        <v>-311610000</v>
      </c>
      <c r="J285" s="99">
        <f t="shared" si="22"/>
        <v>0</v>
      </c>
      <c r="K285" s="99">
        <f t="shared" si="23"/>
        <v>-311610000</v>
      </c>
    </row>
    <row r="286" spans="1:12">
      <c r="A286" s="99" t="s">
        <v>4584</v>
      </c>
      <c r="B286" s="18">
        <v>-2010700</v>
      </c>
      <c r="C286" s="18">
        <v>0</v>
      </c>
      <c r="D286" s="18">
        <f t="shared" si="18"/>
        <v>-2010700</v>
      </c>
      <c r="E286" s="99" t="s">
        <v>4588</v>
      </c>
      <c r="F286" s="99">
        <v>0</v>
      </c>
      <c r="G286" s="36">
        <f t="shared" si="21"/>
        <v>75</v>
      </c>
      <c r="H286" s="99">
        <f t="shared" si="15"/>
        <v>0</v>
      </c>
      <c r="I286" s="99">
        <f t="shared" si="13"/>
        <v>-150802500</v>
      </c>
      <c r="J286" s="99">
        <f t="shared" si="22"/>
        <v>0</v>
      </c>
      <c r="K286" s="99">
        <f t="shared" si="23"/>
        <v>-150802500</v>
      </c>
    </row>
    <row r="287" spans="1:12">
      <c r="A287" s="99" t="s">
        <v>4584</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4589</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4597</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4602</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4602</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4606</v>
      </c>
      <c r="B293" s="18">
        <v>-96850</v>
      </c>
      <c r="C293" s="18">
        <v>0</v>
      </c>
      <c r="D293" s="18">
        <f t="shared" si="18"/>
        <v>-96850</v>
      </c>
      <c r="E293" s="99" t="s">
        <v>4610</v>
      </c>
      <c r="F293" s="99">
        <v>2</v>
      </c>
      <c r="G293" s="36">
        <f t="shared" si="21"/>
        <v>67</v>
      </c>
      <c r="H293" s="99">
        <f t="shared" si="15"/>
        <v>0</v>
      </c>
      <c r="I293" s="99">
        <f t="shared" si="13"/>
        <v>-6488950</v>
      </c>
      <c r="J293" s="99">
        <f t="shared" si="22"/>
        <v>0</v>
      </c>
      <c r="K293" s="99">
        <f t="shared" si="23"/>
        <v>-6488950</v>
      </c>
    </row>
    <row r="294" spans="1:13">
      <c r="A294" s="99" t="s">
        <v>4612</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4612</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4625</v>
      </c>
      <c r="B296" s="18">
        <v>-200000</v>
      </c>
      <c r="C296" s="18">
        <v>0</v>
      </c>
      <c r="D296" s="18">
        <f t="shared" si="18"/>
        <v>-200000</v>
      </c>
      <c r="E296" s="99" t="s">
        <v>4626</v>
      </c>
      <c r="F296" s="99">
        <v>3</v>
      </c>
      <c r="G296" s="36">
        <f t="shared" si="21"/>
        <v>64</v>
      </c>
      <c r="H296" s="99">
        <f t="shared" si="15"/>
        <v>0</v>
      </c>
      <c r="I296" s="99">
        <f t="shared" si="13"/>
        <v>-12800000</v>
      </c>
      <c r="J296" s="99">
        <f t="shared" si="22"/>
        <v>0</v>
      </c>
      <c r="K296" s="99">
        <f t="shared" si="23"/>
        <v>-12800000</v>
      </c>
    </row>
    <row r="297" spans="1:13">
      <c r="A297" s="99" t="s">
        <v>4635</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4637</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4637</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4637</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4637</v>
      </c>
      <c r="B301" s="18">
        <v>-51400</v>
      </c>
      <c r="C301" s="18">
        <v>0</v>
      </c>
      <c r="D301" s="18">
        <f t="shared" si="18"/>
        <v>-51400</v>
      </c>
      <c r="E301" s="99" t="s">
        <v>4643</v>
      </c>
      <c r="F301" s="99">
        <v>1</v>
      </c>
      <c r="G301" s="36">
        <f t="shared" si="27"/>
        <v>60</v>
      </c>
      <c r="H301" s="99">
        <f t="shared" si="15"/>
        <v>0</v>
      </c>
      <c r="I301" s="99">
        <f t="shared" si="24"/>
        <v>-3084000</v>
      </c>
      <c r="J301" s="99">
        <f t="shared" si="25"/>
        <v>0</v>
      </c>
      <c r="K301" s="99">
        <f t="shared" si="26"/>
        <v>-3084000</v>
      </c>
    </row>
    <row r="302" spans="1:13">
      <c r="A302" s="99" t="s">
        <v>4646</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4646</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4658</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4658</v>
      </c>
      <c r="B305" s="18">
        <v>-276773</v>
      </c>
      <c r="C305" s="18">
        <v>0</v>
      </c>
      <c r="D305" s="18">
        <f t="shared" si="18"/>
        <v>-276773</v>
      </c>
      <c r="E305" s="99" t="s">
        <v>4660</v>
      </c>
      <c r="F305" s="99">
        <v>2</v>
      </c>
      <c r="G305" s="36">
        <f t="shared" si="27"/>
        <v>57</v>
      </c>
      <c r="H305" s="99">
        <f t="shared" si="15"/>
        <v>0</v>
      </c>
      <c r="I305" s="99">
        <f t="shared" si="24"/>
        <v>-15776061</v>
      </c>
      <c r="J305" s="99">
        <f t="shared" si="25"/>
        <v>0</v>
      </c>
      <c r="K305" s="99">
        <f t="shared" si="26"/>
        <v>-15776061</v>
      </c>
    </row>
    <row r="306" spans="1:13">
      <c r="A306" s="99" t="s">
        <v>4661</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4668</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4674</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4674</v>
      </c>
      <c r="B309" s="18">
        <v>-55120</v>
      </c>
      <c r="C309" s="18">
        <v>0</v>
      </c>
      <c r="D309" s="18">
        <f t="shared" si="18"/>
        <v>-55120</v>
      </c>
      <c r="E309" s="99" t="s">
        <v>4010</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4683</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4676</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4677</v>
      </c>
      <c r="B312" s="18">
        <v>-324747</v>
      </c>
      <c r="C312" s="18">
        <v>0</v>
      </c>
      <c r="D312" s="18">
        <f t="shared" si="18"/>
        <v>-324747</v>
      </c>
      <c r="E312" s="99" t="s">
        <v>4684</v>
      </c>
      <c r="F312" s="99">
        <v>3</v>
      </c>
      <c r="G312" s="36">
        <f t="shared" si="28"/>
        <v>44</v>
      </c>
      <c r="H312" s="99">
        <f t="shared" si="29"/>
        <v>0</v>
      </c>
      <c r="I312" s="99">
        <f t="shared" si="30"/>
        <v>-14288868</v>
      </c>
      <c r="J312" s="99">
        <f t="shared" si="31"/>
        <v>0</v>
      </c>
      <c r="K312" s="99">
        <f t="shared" si="32"/>
        <v>-14288868</v>
      </c>
      <c r="M312" t="s">
        <v>25</v>
      </c>
    </row>
    <row r="313" spans="1:13">
      <c r="A313" s="99" t="s">
        <v>4691</v>
      </c>
      <c r="B313" s="18">
        <v>-297992</v>
      </c>
      <c r="C313" s="18">
        <v>0</v>
      </c>
      <c r="D313" s="18">
        <f t="shared" si="18"/>
        <v>-297992</v>
      </c>
      <c r="E313" s="99" t="s">
        <v>4692</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4699</v>
      </c>
      <c r="B315" s="18">
        <v>-40000</v>
      </c>
      <c r="C315" s="18">
        <v>0</v>
      </c>
      <c r="D315" s="18">
        <f t="shared" si="18"/>
        <v>-40000</v>
      </c>
      <c r="E315" s="99" t="s">
        <v>4706</v>
      </c>
      <c r="F315" s="99">
        <v>4</v>
      </c>
      <c r="G315" s="36">
        <f t="shared" si="28"/>
        <v>38</v>
      </c>
      <c r="H315" s="99">
        <f t="shared" si="29"/>
        <v>0</v>
      </c>
      <c r="I315" s="99">
        <f t="shared" si="30"/>
        <v>-1520000</v>
      </c>
      <c r="J315" s="99">
        <f t="shared" si="31"/>
        <v>0</v>
      </c>
      <c r="K315" s="99">
        <f t="shared" si="32"/>
        <v>-1520000</v>
      </c>
    </row>
    <row r="316" spans="1:13">
      <c r="A316" s="99" t="s">
        <v>4711</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4729</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4737</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4737</v>
      </c>
      <c r="B319" s="18">
        <v>-1866154</v>
      </c>
      <c r="C319" s="18">
        <v>0</v>
      </c>
      <c r="D319" s="18">
        <f t="shared" si="18"/>
        <v>-1866154</v>
      </c>
      <c r="E319" s="19" t="s">
        <v>4743</v>
      </c>
      <c r="F319" s="99">
        <v>0</v>
      </c>
      <c r="G319" s="36">
        <f t="shared" si="28"/>
        <v>29</v>
      </c>
      <c r="H319" s="99">
        <f t="shared" si="29"/>
        <v>0</v>
      </c>
      <c r="I319" s="99">
        <f t="shared" si="30"/>
        <v>-54118466</v>
      </c>
      <c r="J319" s="99">
        <f t="shared" si="31"/>
        <v>0</v>
      </c>
      <c r="K319" s="99">
        <f t="shared" si="32"/>
        <v>-54118466</v>
      </c>
    </row>
    <row r="320" spans="1:13">
      <c r="A320" s="11" t="s">
        <v>4737</v>
      </c>
      <c r="B320" s="18">
        <v>-36600</v>
      </c>
      <c r="C320" s="18">
        <v>0</v>
      </c>
      <c r="D320" s="18">
        <f t="shared" si="18"/>
        <v>-36600</v>
      </c>
      <c r="E320" s="99" t="s">
        <v>4744</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4745</v>
      </c>
      <c r="B321" s="18">
        <v>-492000</v>
      </c>
      <c r="C321" s="18">
        <v>0</v>
      </c>
      <c r="D321" s="18">
        <f t="shared" si="18"/>
        <v>-492000</v>
      </c>
      <c r="E321" s="99" t="s">
        <v>4746</v>
      </c>
      <c r="F321" s="99">
        <v>0</v>
      </c>
      <c r="G321" s="36">
        <f t="shared" si="33"/>
        <v>28</v>
      </c>
      <c r="H321" s="99">
        <f t="shared" si="34"/>
        <v>0</v>
      </c>
      <c r="I321" s="99">
        <f t="shared" si="35"/>
        <v>-13776000</v>
      </c>
      <c r="J321" s="99">
        <f t="shared" si="36"/>
        <v>0</v>
      </c>
      <c r="K321" s="99">
        <f t="shared" si="37"/>
        <v>-13776000</v>
      </c>
      <c r="M321" t="s">
        <v>25</v>
      </c>
    </row>
    <row r="322" spans="1:14">
      <c r="A322" s="99" t="s">
        <v>4745</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4745</v>
      </c>
      <c r="B323" s="18">
        <v>-40000</v>
      </c>
      <c r="C323" s="18">
        <v>0</v>
      </c>
      <c r="D323" s="18">
        <f t="shared" si="18"/>
        <v>-40000</v>
      </c>
      <c r="E323" s="99" t="s">
        <v>4748</v>
      </c>
      <c r="F323" s="99">
        <v>1</v>
      </c>
      <c r="G323" s="36">
        <f t="shared" si="33"/>
        <v>28</v>
      </c>
      <c r="H323" s="99">
        <f t="shared" si="34"/>
        <v>0</v>
      </c>
      <c r="I323" s="99">
        <f t="shared" si="35"/>
        <v>-1120000</v>
      </c>
      <c r="J323" s="99">
        <f t="shared" si="36"/>
        <v>0</v>
      </c>
      <c r="K323" s="99">
        <f t="shared" si="37"/>
        <v>-1120000</v>
      </c>
    </row>
    <row r="324" spans="1:14">
      <c r="A324" s="99" t="s">
        <v>4749</v>
      </c>
      <c r="B324" s="18">
        <v>-66000</v>
      </c>
      <c r="C324" s="18">
        <v>0</v>
      </c>
      <c r="D324" s="18">
        <f t="shared" si="18"/>
        <v>-66000</v>
      </c>
      <c r="E324" s="99" t="s">
        <v>4748</v>
      </c>
      <c r="F324" s="99">
        <v>1</v>
      </c>
      <c r="G324" s="36">
        <f t="shared" si="33"/>
        <v>27</v>
      </c>
      <c r="H324" s="99">
        <f t="shared" si="34"/>
        <v>0</v>
      </c>
      <c r="I324" s="99">
        <f t="shared" si="35"/>
        <v>-1782000</v>
      </c>
      <c r="J324" s="99">
        <f t="shared" si="36"/>
        <v>0</v>
      </c>
      <c r="K324" s="99">
        <f t="shared" si="37"/>
        <v>-1782000</v>
      </c>
    </row>
    <row r="325" spans="1:14">
      <c r="A325" s="99" t="s">
        <v>4750</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4750</v>
      </c>
      <c r="B326" s="18">
        <v>-200500</v>
      </c>
      <c r="C326" s="18">
        <v>0</v>
      </c>
      <c r="D326" s="18">
        <f t="shared" si="18"/>
        <v>-200500</v>
      </c>
      <c r="E326" s="99" t="s">
        <v>4751</v>
      </c>
      <c r="F326" s="99">
        <v>2</v>
      </c>
      <c r="G326" s="36">
        <f t="shared" si="33"/>
        <v>26</v>
      </c>
      <c r="H326" s="99">
        <f t="shared" si="34"/>
        <v>0</v>
      </c>
      <c r="I326" s="99">
        <f t="shared" si="35"/>
        <v>-5213000</v>
      </c>
      <c r="J326" s="99">
        <f t="shared" si="36"/>
        <v>0</v>
      </c>
      <c r="K326" s="99">
        <f t="shared" si="37"/>
        <v>-5213000</v>
      </c>
      <c r="M326" t="s">
        <v>25</v>
      </c>
    </row>
    <row r="327" spans="1:14">
      <c r="A327" s="99" t="s">
        <v>4755</v>
      </c>
      <c r="B327" s="18">
        <v>1563000</v>
      </c>
      <c r="C327" s="18">
        <v>0</v>
      </c>
      <c r="D327" s="18">
        <f t="shared" si="18"/>
        <v>1563000</v>
      </c>
      <c r="E327" s="99" t="s">
        <v>4758</v>
      </c>
      <c r="F327" s="99">
        <v>0</v>
      </c>
      <c r="G327" s="36">
        <f t="shared" si="33"/>
        <v>24</v>
      </c>
      <c r="H327" s="99">
        <f t="shared" si="34"/>
        <v>1</v>
      </c>
      <c r="I327" s="99">
        <f t="shared" si="35"/>
        <v>35949000</v>
      </c>
      <c r="J327" s="99">
        <f t="shared" si="36"/>
        <v>0</v>
      </c>
      <c r="K327" s="99">
        <f t="shared" si="37"/>
        <v>35949000</v>
      </c>
    </row>
    <row r="328" spans="1:14">
      <c r="A328" s="99" t="s">
        <v>4755</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4766</v>
      </c>
      <c r="B329" s="18">
        <v>-20000</v>
      </c>
      <c r="C329" s="18">
        <v>0</v>
      </c>
      <c r="D329" s="18">
        <f t="shared" si="18"/>
        <v>-20000</v>
      </c>
      <c r="E329" s="99" t="s">
        <v>4770</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4780</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4785</v>
      </c>
      <c r="F331" s="99">
        <v>2</v>
      </c>
      <c r="G331" s="36">
        <f t="shared" si="33"/>
        <v>19</v>
      </c>
      <c r="H331" s="99">
        <f t="shared" si="34"/>
        <v>0</v>
      </c>
      <c r="I331" s="99">
        <f t="shared" si="35"/>
        <v>-15019500</v>
      </c>
      <c r="J331" s="99">
        <f t="shared" si="36"/>
        <v>0</v>
      </c>
      <c r="K331" s="99">
        <f t="shared" si="37"/>
        <v>-15019500</v>
      </c>
    </row>
    <row r="332" spans="1:14">
      <c r="A332" s="99" t="s">
        <v>4789</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4794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4797</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4797</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4797</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4799</v>
      </c>
      <c r="B338" s="18">
        <v>-360000</v>
      </c>
      <c r="C338" s="18">
        <v>0</v>
      </c>
      <c r="D338" s="18">
        <f t="shared" si="18"/>
        <v>-360000</v>
      </c>
      <c r="E338" s="99" t="s">
        <v>3923</v>
      </c>
      <c r="F338" s="99">
        <v>1</v>
      </c>
      <c r="G338" s="36">
        <f t="shared" si="38"/>
        <v>13</v>
      </c>
      <c r="H338" s="99">
        <f t="shared" si="39"/>
        <v>0</v>
      </c>
      <c r="I338" s="99">
        <f t="shared" si="40"/>
        <v>-4680000</v>
      </c>
      <c r="J338" s="99">
        <f t="shared" si="41"/>
        <v>0</v>
      </c>
      <c r="K338" s="99">
        <f t="shared" si="42"/>
        <v>-4680000</v>
      </c>
    </row>
    <row r="339" spans="1:13">
      <c r="A339" s="99" t="s">
        <v>4800</v>
      </c>
      <c r="B339" s="18">
        <v>-2000000</v>
      </c>
      <c r="C339" s="18">
        <v>0</v>
      </c>
      <c r="D339" s="18">
        <f t="shared" si="18"/>
        <v>-2000000</v>
      </c>
      <c r="E339" s="99" t="s">
        <v>4249</v>
      </c>
      <c r="F339" s="99">
        <v>0</v>
      </c>
      <c r="G339" s="36">
        <f t="shared" si="38"/>
        <v>12</v>
      </c>
      <c r="H339" s="99">
        <f t="shared" si="39"/>
        <v>0</v>
      </c>
      <c r="I339" s="99">
        <f t="shared" si="40"/>
        <v>-24000000</v>
      </c>
      <c r="J339" s="99">
        <f t="shared" si="41"/>
        <v>0</v>
      </c>
      <c r="K339" s="99">
        <f t="shared" si="42"/>
        <v>-24000000</v>
      </c>
    </row>
    <row r="340" spans="1:13">
      <c r="A340" s="99" t="s">
        <v>4800</v>
      </c>
      <c r="B340" s="18">
        <v>280000</v>
      </c>
      <c r="C340" s="18">
        <v>0</v>
      </c>
      <c r="D340" s="18">
        <f t="shared" si="18"/>
        <v>280000</v>
      </c>
      <c r="E340" s="99" t="s">
        <v>3887</v>
      </c>
      <c r="F340" s="99">
        <v>1</v>
      </c>
      <c r="G340" s="36">
        <f t="shared" si="38"/>
        <v>12</v>
      </c>
      <c r="H340" s="99">
        <f t="shared" si="39"/>
        <v>1</v>
      </c>
      <c r="I340" s="99">
        <f t="shared" si="40"/>
        <v>3080000</v>
      </c>
      <c r="J340" s="99">
        <f t="shared" si="41"/>
        <v>0</v>
      </c>
      <c r="K340" s="99">
        <f t="shared" si="42"/>
        <v>3080000</v>
      </c>
    </row>
    <row r="341" spans="1:13">
      <c r="A341" s="99" t="s">
        <v>4805</v>
      </c>
      <c r="B341" s="18">
        <v>433375</v>
      </c>
      <c r="C341" s="18">
        <v>0</v>
      </c>
      <c r="D341" s="18">
        <f t="shared" si="18"/>
        <v>433375</v>
      </c>
      <c r="E341" s="99" t="s">
        <v>4808</v>
      </c>
      <c r="F341" s="99">
        <v>1</v>
      </c>
      <c r="G341" s="36">
        <f t="shared" si="38"/>
        <v>11</v>
      </c>
      <c r="H341" s="99">
        <f t="shared" si="39"/>
        <v>1</v>
      </c>
      <c r="I341" s="99">
        <f t="shared" si="40"/>
        <v>4333750</v>
      </c>
      <c r="J341" s="99">
        <f t="shared" si="41"/>
        <v>0</v>
      </c>
      <c r="K341" s="99">
        <f t="shared" si="42"/>
        <v>4333750</v>
      </c>
      <c r="M341" t="s">
        <v>25</v>
      </c>
    </row>
    <row r="342" spans="1:13">
      <c r="A342" s="99" t="s">
        <v>4814</v>
      </c>
      <c r="B342" s="18">
        <v>2000000</v>
      </c>
      <c r="C342" s="18">
        <v>0</v>
      </c>
      <c r="D342" s="18">
        <f t="shared" si="18"/>
        <v>2000000</v>
      </c>
      <c r="E342" s="99" t="s">
        <v>3887</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4814</v>
      </c>
      <c r="B343" s="18">
        <v>-300000</v>
      </c>
      <c r="C343" s="18">
        <v>0</v>
      </c>
      <c r="D343" s="18">
        <f t="shared" si="18"/>
        <v>-300000</v>
      </c>
      <c r="E343" s="99" t="s">
        <v>4817</v>
      </c>
      <c r="F343" s="99">
        <v>0</v>
      </c>
      <c r="G343" s="36">
        <f t="shared" si="43"/>
        <v>10</v>
      </c>
      <c r="H343" s="99">
        <f t="shared" si="44"/>
        <v>0</v>
      </c>
      <c r="I343" s="99">
        <f t="shared" si="45"/>
        <v>-3000000</v>
      </c>
      <c r="J343" s="99">
        <f t="shared" si="46"/>
        <v>0</v>
      </c>
      <c r="K343" s="99">
        <f t="shared" si="47"/>
        <v>-3000000</v>
      </c>
    </row>
    <row r="344" spans="1:13">
      <c r="A344" s="99" t="s">
        <v>4814</v>
      </c>
      <c r="B344" s="18">
        <v>-92800</v>
      </c>
      <c r="C344" s="18">
        <v>0</v>
      </c>
      <c r="D344" s="18">
        <f t="shared" si="18"/>
        <v>-92800</v>
      </c>
      <c r="E344" s="99" t="s">
        <v>729</v>
      </c>
      <c r="F344" s="99">
        <v>1</v>
      </c>
      <c r="G344" s="36">
        <f t="shared" si="43"/>
        <v>10</v>
      </c>
      <c r="H344" s="99">
        <f t="shared" si="44"/>
        <v>0</v>
      </c>
      <c r="I344" s="99">
        <f t="shared" si="45"/>
        <v>-928000</v>
      </c>
      <c r="J344" s="99">
        <f t="shared" si="46"/>
        <v>0</v>
      </c>
      <c r="K344" s="99">
        <f t="shared" si="47"/>
        <v>-928000</v>
      </c>
    </row>
    <row r="345" spans="1:13">
      <c r="A345" s="99" t="s">
        <v>978</v>
      </c>
      <c r="B345" s="18">
        <v>-1417727</v>
      </c>
      <c r="C345" s="18">
        <v>0</v>
      </c>
      <c r="D345" s="18">
        <f t="shared" si="18"/>
        <v>-1417727</v>
      </c>
      <c r="E345" s="99" t="s">
        <v>4819</v>
      </c>
      <c r="F345" s="99">
        <v>3</v>
      </c>
      <c r="G345" s="36">
        <f t="shared" si="43"/>
        <v>9</v>
      </c>
      <c r="H345" s="99">
        <f t="shared" si="44"/>
        <v>0</v>
      </c>
      <c r="I345" s="99">
        <f t="shared" si="45"/>
        <v>-12759543</v>
      </c>
      <c r="J345" s="99">
        <f t="shared" si="46"/>
        <v>0</v>
      </c>
      <c r="K345" s="99">
        <f t="shared" si="47"/>
        <v>-12759543</v>
      </c>
      <c r="L345" t="s">
        <v>25</v>
      </c>
    </row>
    <row r="346" spans="1:13">
      <c r="A346" s="99" t="s">
        <v>4824</v>
      </c>
      <c r="B346" s="18">
        <v>-80575</v>
      </c>
      <c r="C346" s="18">
        <v>0</v>
      </c>
      <c r="D346" s="18">
        <f t="shared" si="18"/>
        <v>-80575</v>
      </c>
      <c r="E346" s="99" t="s">
        <v>4010</v>
      </c>
      <c r="F346" s="99">
        <v>5</v>
      </c>
      <c r="G346" s="36">
        <f t="shared" si="43"/>
        <v>6</v>
      </c>
      <c r="H346" s="99">
        <f t="shared" si="44"/>
        <v>0</v>
      </c>
      <c r="I346" s="99">
        <f t="shared" si="45"/>
        <v>-483450</v>
      </c>
      <c r="J346" s="99">
        <f t="shared" si="46"/>
        <v>0</v>
      </c>
      <c r="K346" s="99">
        <f t="shared" si="47"/>
        <v>-483450</v>
      </c>
    </row>
    <row r="347" spans="1:13">
      <c r="A347" s="99" t="s">
        <v>4821</v>
      </c>
      <c r="B347" s="18">
        <v>-960200</v>
      </c>
      <c r="C347" s="18">
        <v>0</v>
      </c>
      <c r="D347" s="18">
        <f t="shared" si="18"/>
        <v>-960200</v>
      </c>
      <c r="E347" s="99" t="s">
        <v>4825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4702</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4711</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4729</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4737</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4737</v>
      </c>
      <c r="B6" s="18">
        <v>-1866154</v>
      </c>
      <c r="C6" s="18">
        <v>0</v>
      </c>
      <c r="D6" s="113">
        <f t="shared" si="0"/>
        <v>-1866154</v>
      </c>
      <c r="E6" s="19" t="s">
        <v>4743</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4737</v>
      </c>
      <c r="B7" s="18">
        <v>-36600</v>
      </c>
      <c r="C7" s="18">
        <v>0</v>
      </c>
      <c r="D7" s="113">
        <f t="shared" si="0"/>
        <v>-36600</v>
      </c>
      <c r="E7" s="19" t="s">
        <v>4744</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4745</v>
      </c>
      <c r="B8" s="18">
        <v>-492000</v>
      </c>
      <c r="C8" s="18">
        <v>0</v>
      </c>
      <c r="D8" s="113">
        <f t="shared" si="0"/>
        <v>-492000</v>
      </c>
      <c r="E8" s="19" t="s">
        <v>4746</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4745</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4745</v>
      </c>
      <c r="B10" s="18">
        <v>-40000</v>
      </c>
      <c r="C10" s="18">
        <v>0</v>
      </c>
      <c r="D10" s="113">
        <f t="shared" si="0"/>
        <v>-40000</v>
      </c>
      <c r="E10" s="19" t="s">
        <v>4748</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4749</v>
      </c>
      <c r="B11" s="18">
        <v>-66000</v>
      </c>
      <c r="C11" s="18">
        <v>0</v>
      </c>
      <c r="D11" s="113">
        <f t="shared" si="0"/>
        <v>-66000</v>
      </c>
      <c r="E11" s="19" t="s">
        <v>4748</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4750</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4750</v>
      </c>
      <c r="B13" s="18">
        <v>-200500</v>
      </c>
      <c r="C13" s="18">
        <v>0</v>
      </c>
      <c r="D13" s="113">
        <f t="shared" si="0"/>
        <v>-200500</v>
      </c>
      <c r="E13" s="20" t="s">
        <v>4751</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4755</v>
      </c>
      <c r="B14" s="18">
        <v>1563000</v>
      </c>
      <c r="C14" s="18">
        <v>0</v>
      </c>
      <c r="D14" s="113">
        <f t="shared" si="0"/>
        <v>1563000</v>
      </c>
      <c r="E14" s="20" t="s">
        <v>4758</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4755</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4766</v>
      </c>
      <c r="B16" s="18">
        <v>-20000</v>
      </c>
      <c r="C16" s="18">
        <v>0</v>
      </c>
      <c r="D16" s="113">
        <f t="shared" si="0"/>
        <v>-20000</v>
      </c>
      <c r="E16" s="20" t="s">
        <v>4770</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4780</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4784</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4789</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4794</v>
      </c>
      <c r="B20" s="18">
        <v>400000</v>
      </c>
      <c r="C20" s="18">
        <v>0</v>
      </c>
      <c r="D20" s="113">
        <f t="shared" si="0"/>
        <v>400000</v>
      </c>
      <c r="E20" s="19" t="s">
        <v>4795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4797</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4797</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4797</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4799</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4800</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4800</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4805</v>
      </c>
      <c r="B28" s="18">
        <v>433375</v>
      </c>
      <c r="C28" s="18">
        <v>0</v>
      </c>
      <c r="D28" s="113">
        <f t="shared" si="0"/>
        <v>433375</v>
      </c>
      <c r="E28" s="19" t="s">
        <v>4808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4814</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4814</v>
      </c>
      <c r="B30" s="18">
        <v>-300000</v>
      </c>
      <c r="C30" s="18">
        <v>0</v>
      </c>
      <c r="D30" s="113">
        <f t="shared" si="0"/>
        <v>-300000</v>
      </c>
      <c r="E30" s="19" t="s">
        <v>4817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4814</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4709</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4710</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4720</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4721</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4728</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4735</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4740</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4741</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4742</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4743</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4747</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4752</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4753</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4756</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4759</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4762</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4765</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4768</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4769</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4771</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4772</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4781</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4783</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4788</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4790</v>
      </c>
      <c r="F68" s="96"/>
      <c r="G68" s="96"/>
      <c r="H68" s="96"/>
      <c r="I68" s="96"/>
    </row>
    <row r="69" spans="1:22">
      <c r="A69" s="96"/>
      <c r="B69" s="96"/>
      <c r="C69" s="96"/>
      <c r="D69" s="18">
        <v>-67844</v>
      </c>
      <c r="E69" s="122" t="s">
        <v>4792</v>
      </c>
      <c r="F69" s="96"/>
      <c r="G69" s="96"/>
      <c r="H69" s="96"/>
      <c r="I69" s="96"/>
    </row>
    <row r="70" spans="1:22">
      <c r="D70" s="18">
        <v>-400000</v>
      </c>
      <c r="E70" s="122" t="s">
        <v>4796</v>
      </c>
      <c r="G70" t="s">
        <v>25</v>
      </c>
    </row>
    <row r="71" spans="1:22">
      <c r="D71" s="18">
        <v>463200</v>
      </c>
      <c r="E71" s="122" t="s">
        <v>4798</v>
      </c>
    </row>
    <row r="72" spans="1:22">
      <c r="D72" s="18">
        <v>2000000</v>
      </c>
      <c r="E72" s="96" t="s">
        <v>4801</v>
      </c>
    </row>
    <row r="73" spans="1:22">
      <c r="D73" s="18">
        <v>-280000</v>
      </c>
      <c r="E73" t="s">
        <v>4802</v>
      </c>
    </row>
    <row r="74" spans="1:22">
      <c r="D74" s="18">
        <v>-200000</v>
      </c>
      <c r="E74" s="96" t="s">
        <v>4809</v>
      </c>
    </row>
    <row r="75" spans="1:22">
      <c r="D75" s="18">
        <v>-2000000</v>
      </c>
      <c r="E75" s="96" t="s">
        <v>4815</v>
      </c>
    </row>
    <row r="76" spans="1:22">
      <c r="D76" s="18">
        <v>92800</v>
      </c>
      <c r="E76" s="96" t="s">
        <v>4818</v>
      </c>
    </row>
    <row r="77" spans="1:22">
      <c r="D77" s="18">
        <v>1417727</v>
      </c>
      <c r="E77" s="96" t="s">
        <v>4819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946</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946</v>
      </c>
      <c r="F87">
        <f t="shared" si="4"/>
        <v>53220030</v>
      </c>
      <c r="G87">
        <f t="shared" si="5"/>
        <v>66525.037500000006</v>
      </c>
      <c r="H87">
        <f>F87-G87</f>
        <v>53153504.962499999</v>
      </c>
      <c r="I87" s="25"/>
    </row>
    <row r="88" spans="3:14">
      <c r="C88">
        <v>10</v>
      </c>
      <c r="D88">
        <v>1774000</v>
      </c>
      <c r="E88" t="s">
        <v>946</v>
      </c>
      <c r="F88">
        <f t="shared" si="4"/>
        <v>17740000</v>
      </c>
      <c r="G88">
        <f t="shared" si="5"/>
        <v>22175</v>
      </c>
      <c r="H88">
        <f>F88-G88</f>
        <v>17717825</v>
      </c>
      <c r="I88" s="25"/>
    </row>
    <row r="89" spans="3:14">
      <c r="C89">
        <v>40</v>
      </c>
      <c r="D89">
        <v>1771000</v>
      </c>
      <c r="E89" t="s">
        <v>946</v>
      </c>
      <c r="F89">
        <f t="shared" si="4"/>
        <v>70840000</v>
      </c>
      <c r="G89">
        <f t="shared" si="5"/>
        <v>88550</v>
      </c>
      <c r="H89">
        <f>F89-G89</f>
        <v>70751450</v>
      </c>
      <c r="I89" s="28"/>
    </row>
    <row r="90" spans="3:14">
      <c r="C90">
        <v>20</v>
      </c>
      <c r="D90">
        <v>1790000</v>
      </c>
      <c r="E90" t="s">
        <v>946</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4270</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4271</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70" zoomScaleNormal="70" workbookViewId="0">
      <selection activeCell="D15" sqref="D15"/>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1770</v>
      </c>
      <c r="C5" s="99"/>
      <c r="D5" s="99"/>
      <c r="F5" s="132">
        <v>0.2</v>
      </c>
      <c r="G5" s="132">
        <v>0.46</v>
      </c>
      <c r="I5" s="99"/>
      <c r="J5" s="99"/>
      <c r="L5" s="99" t="s">
        <v>3701</v>
      </c>
      <c r="M5" s="99">
        <v>6150</v>
      </c>
      <c r="U5" s="96"/>
      <c r="V5" s="96"/>
      <c r="W5" s="96"/>
      <c r="X5" s="96"/>
      <c r="Y5" s="96"/>
      <c r="Z5" s="96"/>
    </row>
    <row r="6" spans="1:35" ht="20.25" customHeight="1">
      <c r="A6" s="99" t="s">
        <v>1112</v>
      </c>
      <c r="B6" s="99">
        <v>16000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6670398.8424437288</v>
      </c>
      <c r="C8" s="99">
        <f>B2*B4*B5/(B1*B3)+B7/B6</f>
        <v>416.89992765273303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-2630398.8424437288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49" t="s">
        <v>4987</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5032</v>
      </c>
      <c r="X20" s="41">
        <v>9194342556</v>
      </c>
      <c r="Y20" s="41">
        <v>200</v>
      </c>
      <c r="Z20" s="41" t="s">
        <v>4527</v>
      </c>
      <c r="AA20" t="s">
        <v>5014</v>
      </c>
      <c r="AB20" s="96"/>
      <c r="AC20" s="96"/>
      <c r="AD20" s="96"/>
      <c r="AE20" s="96"/>
      <c r="AF20" s="96"/>
      <c r="AG20" s="96"/>
      <c r="AH20" s="96"/>
      <c r="AI20" s="96"/>
    </row>
    <row r="21" spans="5:35">
      <c r="O21" s="99"/>
      <c r="P21" s="99"/>
      <c r="Q21" s="304" t="s">
        <v>1085</v>
      </c>
      <c r="R21" s="304"/>
      <c r="S21" s="304"/>
      <c r="T21" s="304"/>
      <c r="U21" s="96"/>
      <c r="V21" s="96"/>
      <c r="W21" s="41" t="s">
        <v>5031</v>
      </c>
      <c r="X21" s="41">
        <v>9035210431</v>
      </c>
      <c r="Y21" s="41">
        <v>50</v>
      </c>
      <c r="Z21" s="41" t="s">
        <v>5313</v>
      </c>
      <c r="AA21" t="s">
        <v>5049</v>
      </c>
    </row>
    <row r="22" spans="5:35">
      <c r="O22" s="99"/>
      <c r="P22" s="99"/>
      <c r="Q22" s="304"/>
      <c r="R22" s="304"/>
      <c r="S22" s="304"/>
      <c r="T22" s="304"/>
      <c r="U22" s="96"/>
      <c r="V22" s="96"/>
      <c r="W22" s="41" t="s">
        <v>5123</v>
      </c>
      <c r="X22" s="41">
        <v>9909620343</v>
      </c>
      <c r="Y22" s="41">
        <v>200</v>
      </c>
      <c r="Z22" s="41" t="s">
        <v>5314</v>
      </c>
      <c r="AA22" t="s">
        <v>5317</v>
      </c>
      <c r="AB22" s="41" t="s">
        <v>5325</v>
      </c>
    </row>
    <row r="23" spans="5:35" ht="15.75">
      <c r="O23" s="178"/>
      <c r="P23" s="99" t="s">
        <v>4082</v>
      </c>
      <c r="Q23" s="305" t="s">
        <v>1086</v>
      </c>
      <c r="R23" s="306" t="s">
        <v>1087</v>
      </c>
      <c r="S23" s="305" t="s">
        <v>1088</v>
      </c>
      <c r="T23" s="307" t="s">
        <v>1089</v>
      </c>
      <c r="W23" s="41" t="s">
        <v>5124</v>
      </c>
      <c r="X23" s="41">
        <v>9378807702</v>
      </c>
      <c r="Y23" s="41">
        <v>0</v>
      </c>
      <c r="Z23" s="41">
        <v>0</v>
      </c>
      <c r="AD23" t="s">
        <v>25</v>
      </c>
    </row>
    <row r="24" spans="5:35">
      <c r="O24" s="99"/>
      <c r="P24" s="99"/>
      <c r="Q24" s="305"/>
      <c r="R24" s="306"/>
      <c r="S24" s="305"/>
      <c r="T24" s="307"/>
      <c r="W24" s="41" t="s">
        <v>5147</v>
      </c>
      <c r="X24" s="41"/>
      <c r="Y24" s="41">
        <v>200</v>
      </c>
      <c r="Z24" s="41" t="s">
        <v>4527</v>
      </c>
      <c r="AA24" t="s">
        <v>5160</v>
      </c>
      <c r="AB24" t="s">
        <v>5212</v>
      </c>
    </row>
    <row r="25" spans="5:35">
      <c r="O25" s="173" t="s">
        <v>4138</v>
      </c>
      <c r="P25" s="173">
        <v>2182188507</v>
      </c>
      <c r="Q25" s="174" t="s">
        <v>1090</v>
      </c>
      <c r="R25" s="174" t="s">
        <v>4083</v>
      </c>
      <c r="S25" s="174" t="s">
        <v>4088</v>
      </c>
      <c r="T25" s="174" t="s">
        <v>1091</v>
      </c>
      <c r="W25" s="41" t="s">
        <v>5167</v>
      </c>
      <c r="X25" s="41">
        <v>9013075723</v>
      </c>
      <c r="Y25" s="41">
        <v>100</v>
      </c>
      <c r="Z25" s="41" t="s">
        <v>5313</v>
      </c>
      <c r="AA25" t="s">
        <v>5236</v>
      </c>
    </row>
    <row r="26" spans="5:35">
      <c r="O26" s="173"/>
      <c r="P26" s="173">
        <v>2123095122</v>
      </c>
      <c r="Q26" s="175" t="s">
        <v>1092</v>
      </c>
      <c r="R26" s="175" t="s">
        <v>1093</v>
      </c>
      <c r="S26" s="175" t="s">
        <v>1094</v>
      </c>
      <c r="T26" s="175" t="s">
        <v>1095</v>
      </c>
      <c r="U26" s="96"/>
      <c r="V26" s="96"/>
      <c r="W26" s="41" t="s">
        <v>5315</v>
      </c>
      <c r="X26" s="41">
        <v>9214923916</v>
      </c>
      <c r="Y26" s="41">
        <v>100</v>
      </c>
      <c r="Z26" s="41" t="s">
        <v>4527</v>
      </c>
      <c r="AA26" s="207" t="s">
        <v>5309</v>
      </c>
      <c r="AB26" s="96"/>
    </row>
    <row r="27" spans="5:35" ht="30">
      <c r="O27" s="173" t="s">
        <v>4193</v>
      </c>
      <c r="P27" s="173">
        <v>2188831909</v>
      </c>
      <c r="Q27" s="99" t="s">
        <v>4085</v>
      </c>
      <c r="R27" s="99" t="s">
        <v>4086</v>
      </c>
      <c r="S27" s="99" t="s">
        <v>4087</v>
      </c>
      <c r="T27" s="176" t="s">
        <v>4089</v>
      </c>
      <c r="U27" s="96"/>
      <c r="V27" s="96"/>
      <c r="W27" s="41" t="s">
        <v>5316</v>
      </c>
      <c r="X27" s="41" t="s">
        <v>5377</v>
      </c>
      <c r="Y27" s="41">
        <v>80</v>
      </c>
      <c r="Z27" s="41" t="s">
        <v>5313</v>
      </c>
      <c r="AA27" s="207" t="s">
        <v>5309</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3852</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3853</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3854</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3855</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3856</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3857</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3858</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3859</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3860</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3861</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3862</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3863</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3864</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3865</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3866</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3867</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3868</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3869</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3870</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3871</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3872</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4526</v>
      </c>
      <c r="B1" t="s">
        <v>4529</v>
      </c>
      <c r="C1" t="s">
        <v>4530</v>
      </c>
    </row>
    <row r="2" spans="1:3">
      <c r="A2" t="s">
        <v>4527</v>
      </c>
      <c r="B2" t="s">
        <v>4531</v>
      </c>
      <c r="C2" t="s">
        <v>4532</v>
      </c>
    </row>
    <row r="3" spans="1:3">
      <c r="A3" t="s">
        <v>4528</v>
      </c>
      <c r="B3" t="s">
        <v>4530</v>
      </c>
      <c r="C3" t="s">
        <v>4533</v>
      </c>
    </row>
    <row r="5" spans="1:3">
      <c r="A5" t="s">
        <v>4745</v>
      </c>
      <c r="B5" t="s">
        <v>4760</v>
      </c>
    </row>
    <row r="6" spans="1:3">
      <c r="A6" t="s">
        <v>4755</v>
      </c>
      <c r="B6" t="s">
        <v>4761</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4556</v>
      </c>
      <c r="B73" s="113">
        <v>100000</v>
      </c>
      <c r="C73" s="99" t="s">
        <v>3887</v>
      </c>
      <c r="D73" s="99">
        <v>50</v>
      </c>
      <c r="E73" s="99">
        <f t="shared" si="3"/>
        <v>52</v>
      </c>
      <c r="F73" s="99">
        <f t="shared" si="1"/>
        <v>1</v>
      </c>
      <c r="G73" s="99">
        <f t="shared" si="2"/>
        <v>5100000</v>
      </c>
    </row>
    <row r="74" spans="1:9">
      <c r="A74" s="99" t="s">
        <v>4699</v>
      </c>
      <c r="B74" s="113">
        <v>-38130</v>
      </c>
      <c r="C74" s="99" t="s">
        <v>1036</v>
      </c>
      <c r="D74" s="99">
        <v>1</v>
      </c>
      <c r="E74" s="99">
        <f t="shared" si="3"/>
        <v>2</v>
      </c>
      <c r="F74" s="99">
        <f t="shared" si="1"/>
        <v>0</v>
      </c>
      <c r="G74" s="99">
        <f t="shared" si="2"/>
        <v>-76260</v>
      </c>
      <c r="I74" t="s">
        <v>25</v>
      </c>
    </row>
    <row r="75" spans="1:9">
      <c r="A75" s="99" t="s">
        <v>4702</v>
      </c>
      <c r="B75" s="113">
        <v>-20000</v>
      </c>
      <c r="C75" s="99" t="s">
        <v>4707</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4696</v>
      </c>
      <c r="C1" s="99" t="s">
        <v>3931</v>
      </c>
      <c r="D1" s="99" t="s">
        <v>8</v>
      </c>
      <c r="E1" s="96"/>
      <c r="F1" s="96"/>
      <c r="G1" s="96"/>
    </row>
    <row r="2" spans="1:7">
      <c r="A2" s="99" t="s">
        <v>4687</v>
      </c>
      <c r="B2" s="95">
        <v>10300</v>
      </c>
      <c r="C2" s="95">
        <v>0</v>
      </c>
      <c r="D2" s="99" t="s">
        <v>4697</v>
      </c>
      <c r="E2" s="96"/>
      <c r="F2" s="96"/>
      <c r="G2" s="96"/>
    </row>
    <row r="3" spans="1:7">
      <c r="A3" s="99" t="s">
        <v>4687</v>
      </c>
      <c r="B3" s="95">
        <v>0</v>
      </c>
      <c r="C3" s="95">
        <v>5500</v>
      </c>
      <c r="D3" s="99" t="s">
        <v>4698</v>
      </c>
      <c r="E3" s="96"/>
      <c r="F3" s="96"/>
      <c r="G3" s="96"/>
    </row>
    <row r="4" spans="1:7">
      <c r="A4" s="99" t="s">
        <v>3680</v>
      </c>
      <c r="B4" s="95">
        <v>0</v>
      </c>
      <c r="C4" s="95">
        <v>1000</v>
      </c>
      <c r="D4" s="99" t="s">
        <v>315</v>
      </c>
      <c r="E4" s="96"/>
      <c r="F4" s="96"/>
      <c r="G4" s="96"/>
    </row>
    <row r="5" spans="1:7">
      <c r="A5" s="99" t="s">
        <v>4702</v>
      </c>
      <c r="B5" s="95">
        <v>0</v>
      </c>
      <c r="C5" s="95">
        <v>1000</v>
      </c>
      <c r="D5" s="99" t="s">
        <v>315</v>
      </c>
      <c r="E5" s="96"/>
      <c r="F5" s="96"/>
      <c r="G5" s="96"/>
    </row>
    <row r="6" spans="1:7">
      <c r="A6" s="99" t="s">
        <v>4714</v>
      </c>
      <c r="B6" s="95">
        <v>0</v>
      </c>
      <c r="C6" s="95">
        <v>3000</v>
      </c>
      <c r="D6" s="99" t="s">
        <v>4718</v>
      </c>
      <c r="E6" s="96"/>
      <c r="F6" s="96"/>
      <c r="G6" s="96"/>
    </row>
    <row r="7" spans="1:7">
      <c r="A7" s="99" t="s">
        <v>4714</v>
      </c>
      <c r="B7" s="95">
        <v>9200</v>
      </c>
      <c r="C7" s="95">
        <v>0</v>
      </c>
      <c r="D7" s="99" t="s">
        <v>4697</v>
      </c>
      <c r="E7" s="96"/>
      <c r="F7" s="96"/>
      <c r="G7" s="96"/>
    </row>
    <row r="8" spans="1:7">
      <c r="A8" s="99" t="s">
        <v>4716</v>
      </c>
      <c r="B8" s="95">
        <v>0</v>
      </c>
      <c r="C8" s="95">
        <v>1000</v>
      </c>
      <c r="D8" s="99" t="s">
        <v>315</v>
      </c>
      <c r="E8" s="96"/>
      <c r="F8" s="96"/>
      <c r="G8" s="96"/>
    </row>
    <row r="9" spans="1:7">
      <c r="A9" s="99" t="s">
        <v>4723</v>
      </c>
      <c r="B9" s="99">
        <v>0</v>
      </c>
      <c r="C9" s="99">
        <v>1000</v>
      </c>
      <c r="D9" s="99" t="s">
        <v>315</v>
      </c>
      <c r="E9" s="96"/>
      <c r="F9" s="96"/>
      <c r="G9" s="96"/>
    </row>
    <row r="10" spans="1:7">
      <c r="A10" s="99" t="s">
        <v>4723</v>
      </c>
      <c r="B10" s="95">
        <v>10200</v>
      </c>
      <c r="C10" s="95">
        <v>0</v>
      </c>
      <c r="D10" s="99" t="s">
        <v>4697</v>
      </c>
      <c r="E10" s="96"/>
      <c r="F10" s="96"/>
      <c r="G10" s="96"/>
    </row>
    <row r="11" spans="1:7">
      <c r="A11" s="99" t="s">
        <v>4737</v>
      </c>
      <c r="B11" s="95">
        <v>0</v>
      </c>
      <c r="C11" s="95">
        <v>1000</v>
      </c>
      <c r="D11" s="99" t="s">
        <v>315</v>
      </c>
      <c r="E11" s="96"/>
      <c r="F11" s="96"/>
      <c r="G11" s="96"/>
    </row>
    <row r="12" spans="1:7">
      <c r="A12" s="99" t="s">
        <v>4754</v>
      </c>
      <c r="B12" s="95">
        <v>0</v>
      </c>
      <c r="C12" s="95">
        <v>1000</v>
      </c>
      <c r="D12" s="99" t="s">
        <v>315</v>
      </c>
      <c r="E12" s="96"/>
      <c r="F12" s="96"/>
      <c r="G12" s="96"/>
    </row>
    <row r="13" spans="1:7">
      <c r="A13" s="99" t="s">
        <v>4755</v>
      </c>
      <c r="B13" s="95">
        <v>0</v>
      </c>
      <c r="C13" s="95">
        <v>1000</v>
      </c>
      <c r="D13" s="99" t="s">
        <v>315</v>
      </c>
      <c r="E13" s="96"/>
      <c r="F13" s="96"/>
      <c r="G13" s="96"/>
    </row>
    <row r="14" spans="1:7">
      <c r="A14" s="99" t="s">
        <v>4782</v>
      </c>
      <c r="B14" s="95">
        <v>0</v>
      </c>
      <c r="C14" s="95">
        <v>1000</v>
      </c>
      <c r="D14" s="99" t="s">
        <v>315</v>
      </c>
      <c r="E14" s="96"/>
      <c r="F14" s="96"/>
      <c r="G14" s="96"/>
    </row>
    <row r="15" spans="1:7">
      <c r="A15" s="99" t="s">
        <v>4766</v>
      </c>
      <c r="B15" s="95">
        <v>0</v>
      </c>
      <c r="C15" s="95">
        <v>1000</v>
      </c>
      <c r="D15" s="99" t="s">
        <v>315</v>
      </c>
      <c r="E15" s="96"/>
      <c r="F15" s="96"/>
      <c r="G15" s="96"/>
    </row>
    <row r="16" spans="1:7">
      <c r="A16" s="99" t="s">
        <v>971</v>
      </c>
      <c r="B16" s="95">
        <v>10200</v>
      </c>
      <c r="C16" s="95">
        <v>0</v>
      </c>
      <c r="D16" s="99" t="s">
        <v>4697</v>
      </c>
      <c r="E16" s="96"/>
      <c r="F16" s="96"/>
      <c r="G16" s="96"/>
    </row>
    <row r="17" spans="1:9">
      <c r="A17" s="99" t="s">
        <v>971</v>
      </c>
      <c r="B17" s="95">
        <v>0</v>
      </c>
      <c r="C17" s="95">
        <v>1500</v>
      </c>
      <c r="D17" s="99" t="s">
        <v>315</v>
      </c>
      <c r="E17" s="96"/>
      <c r="F17" s="96"/>
      <c r="G17" s="96"/>
    </row>
    <row r="18" spans="1:9">
      <c r="A18" s="99" t="s">
        <v>4787</v>
      </c>
      <c r="B18" s="95">
        <v>0</v>
      </c>
      <c r="C18" s="95">
        <v>1000</v>
      </c>
      <c r="D18" s="99" t="s">
        <v>315</v>
      </c>
      <c r="E18" s="96"/>
      <c r="F18" s="96"/>
      <c r="G18" s="96"/>
    </row>
    <row r="19" spans="1:9">
      <c r="A19" s="99" t="s">
        <v>4789</v>
      </c>
      <c r="B19" s="95">
        <v>0</v>
      </c>
      <c r="C19" s="95">
        <v>1000</v>
      </c>
      <c r="D19" s="99" t="s">
        <v>315</v>
      </c>
      <c r="E19" s="96"/>
      <c r="F19" s="96"/>
      <c r="G19" s="96"/>
    </row>
    <row r="20" spans="1:9">
      <c r="A20" s="99" t="s">
        <v>4791</v>
      </c>
      <c r="B20" s="95">
        <v>0</v>
      </c>
      <c r="C20" s="95">
        <v>1000</v>
      </c>
      <c r="D20" s="99" t="s">
        <v>315</v>
      </c>
      <c r="E20" s="96"/>
      <c r="F20" s="96"/>
      <c r="G20" s="96"/>
    </row>
    <row r="21" spans="1:9">
      <c r="A21" s="99" t="s">
        <v>4794</v>
      </c>
      <c r="B21" s="95">
        <v>0</v>
      </c>
      <c r="C21" s="95">
        <v>1000</v>
      </c>
      <c r="D21" s="99" t="s">
        <v>315</v>
      </c>
      <c r="E21" s="96"/>
      <c r="F21" s="96"/>
      <c r="G21" s="96"/>
    </row>
    <row r="22" spans="1:9">
      <c r="A22" s="99" t="s">
        <v>4794</v>
      </c>
      <c r="B22" s="95">
        <v>9600</v>
      </c>
      <c r="C22" s="95">
        <v>0</v>
      </c>
      <c r="D22" s="99" t="s">
        <v>4697</v>
      </c>
      <c r="E22" s="96"/>
      <c r="F22" s="96"/>
      <c r="G22" s="96"/>
      <c r="I22" t="s">
        <v>25</v>
      </c>
    </row>
    <row r="23" spans="1:9">
      <c r="A23" s="99" t="s">
        <v>4800</v>
      </c>
      <c r="B23" s="95">
        <v>0</v>
      </c>
      <c r="C23" s="95">
        <v>1000</v>
      </c>
      <c r="D23" s="99" t="s">
        <v>315</v>
      </c>
      <c r="E23" s="96"/>
      <c r="F23" s="96"/>
      <c r="G23" s="96"/>
    </row>
    <row r="24" spans="1:9">
      <c r="A24" s="99" t="s">
        <v>4805</v>
      </c>
      <c r="B24" s="95">
        <v>0</v>
      </c>
      <c r="C24" s="95">
        <v>1000</v>
      </c>
      <c r="D24" s="99" t="s">
        <v>315</v>
      </c>
      <c r="E24" s="96"/>
      <c r="F24" s="96"/>
      <c r="G24" s="96"/>
    </row>
    <row r="25" spans="1:9">
      <c r="A25" s="99" t="s">
        <v>4814</v>
      </c>
      <c r="B25" s="95">
        <v>0</v>
      </c>
      <c r="C25" s="95">
        <v>1000</v>
      </c>
      <c r="D25" s="99" t="s">
        <v>315</v>
      </c>
    </row>
    <row r="26" spans="1:9">
      <c r="A26" s="99" t="s">
        <v>4841</v>
      </c>
      <c r="B26" s="95">
        <v>0</v>
      </c>
      <c r="C26" s="95">
        <v>12000</v>
      </c>
      <c r="D26" s="99" t="s">
        <v>4849</v>
      </c>
    </row>
    <row r="27" spans="1:9">
      <c r="A27" s="99" t="s">
        <v>4842</v>
      </c>
      <c r="B27" s="95">
        <v>0</v>
      </c>
      <c r="C27" s="95">
        <v>1000</v>
      </c>
      <c r="D27" s="99" t="s">
        <v>315</v>
      </c>
    </row>
    <row r="28" spans="1:9">
      <c r="A28" s="99" t="s">
        <v>4850</v>
      </c>
      <c r="B28" s="95">
        <v>0</v>
      </c>
      <c r="C28" s="95">
        <v>1000</v>
      </c>
      <c r="D28" s="99" t="s">
        <v>315</v>
      </c>
    </row>
    <row r="29" spans="1:9">
      <c r="A29" s="99" t="s">
        <v>4851</v>
      </c>
      <c r="B29" s="95">
        <v>0</v>
      </c>
      <c r="C29" s="95">
        <v>1000</v>
      </c>
      <c r="D29" s="99" t="s">
        <v>315</v>
      </c>
    </row>
    <row r="30" spans="1:9">
      <c r="A30" s="99" t="s">
        <v>4852</v>
      </c>
      <c r="B30" s="95">
        <v>0</v>
      </c>
      <c r="C30" s="95">
        <v>5500</v>
      </c>
      <c r="D30" s="99" t="s">
        <v>4698</v>
      </c>
    </row>
    <row r="31" spans="1:9">
      <c r="A31" s="99" t="s">
        <v>4852</v>
      </c>
      <c r="B31" s="95">
        <v>11000</v>
      </c>
      <c r="C31" s="95">
        <v>0</v>
      </c>
      <c r="D31" s="99" t="s">
        <v>4697</v>
      </c>
    </row>
    <row r="32" spans="1:9">
      <c r="A32" s="99" t="s">
        <v>4860</v>
      </c>
      <c r="B32" s="95">
        <v>0</v>
      </c>
      <c r="C32" s="95">
        <v>1000</v>
      </c>
      <c r="D32" s="99" t="s">
        <v>315</v>
      </c>
      <c r="H32" t="s">
        <v>25</v>
      </c>
    </row>
    <row r="33" spans="1:10">
      <c r="A33" s="99" t="s">
        <v>4861</v>
      </c>
      <c r="B33" s="95">
        <v>0</v>
      </c>
      <c r="C33" s="95">
        <v>1000</v>
      </c>
      <c r="D33" s="99" t="s">
        <v>315</v>
      </c>
      <c r="H33" t="s">
        <v>25</v>
      </c>
    </row>
    <row r="34" spans="1:10">
      <c r="A34" s="99" t="s">
        <v>4863</v>
      </c>
      <c r="B34" s="95">
        <v>0</v>
      </c>
      <c r="C34" s="95">
        <v>1000</v>
      </c>
      <c r="D34" s="99" t="s">
        <v>315</v>
      </c>
    </row>
    <row r="35" spans="1:10">
      <c r="A35" s="99" t="s">
        <v>4864</v>
      </c>
      <c r="B35" s="95">
        <v>0</v>
      </c>
      <c r="C35" s="95">
        <v>1000</v>
      </c>
      <c r="D35" s="99" t="s">
        <v>315</v>
      </c>
      <c r="J35" t="s">
        <v>25</v>
      </c>
    </row>
    <row r="36" spans="1:10">
      <c r="A36" s="99" t="s">
        <v>4869</v>
      </c>
      <c r="B36" s="95">
        <v>1000</v>
      </c>
      <c r="C36" s="95">
        <v>0</v>
      </c>
      <c r="D36" s="99" t="s">
        <v>315</v>
      </c>
    </row>
    <row r="37" spans="1:10">
      <c r="A37" s="99" t="s">
        <v>4869</v>
      </c>
      <c r="B37" s="95">
        <v>0</v>
      </c>
      <c r="C37" s="95">
        <v>11200</v>
      </c>
      <c r="D37" s="99" t="s">
        <v>4697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4716</v>
      </c>
      <c r="B48" s="224">
        <v>6700</v>
      </c>
      <c r="C48" s="224">
        <v>0</v>
      </c>
      <c r="D48" s="23" t="s">
        <v>4719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5391</v>
      </c>
      <c r="E1" s="99"/>
      <c r="F1" s="99"/>
      <c r="G1" s="99"/>
      <c r="H1" s="99"/>
      <c r="I1" s="99"/>
    </row>
    <row r="2" spans="1:15">
      <c r="A2" s="99">
        <v>1</v>
      </c>
      <c r="B2" s="99" t="s">
        <v>5285</v>
      </c>
      <c r="C2" s="95">
        <v>28500</v>
      </c>
      <c r="D2" s="99" t="s">
        <v>5394</v>
      </c>
      <c r="E2" s="99"/>
      <c r="F2" s="99"/>
      <c r="G2" s="99"/>
      <c r="H2" s="99"/>
      <c r="I2" s="99"/>
    </row>
    <row r="3" spans="1:15">
      <c r="A3" s="99">
        <v>2</v>
      </c>
      <c r="B3" s="99" t="s">
        <v>5312</v>
      </c>
      <c r="C3" s="95">
        <v>180200</v>
      </c>
      <c r="D3" s="99" t="s">
        <v>5393</v>
      </c>
      <c r="E3" s="99"/>
      <c r="F3" s="99"/>
      <c r="G3" s="99"/>
      <c r="H3" s="99"/>
      <c r="I3" s="99"/>
    </row>
    <row r="4" spans="1:15">
      <c r="A4" s="99">
        <v>3</v>
      </c>
      <c r="B4" s="99" t="s">
        <v>5385</v>
      </c>
      <c r="C4" s="95">
        <v>187000</v>
      </c>
      <c r="D4" s="99" t="s">
        <v>5392</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C400" sqref="C400"/>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1425</v>
      </c>
      <c r="E2" s="11">
        <f>IF(B2&gt;0,1,0)</f>
        <v>1</v>
      </c>
      <c r="F2" s="11">
        <f>B2*(D2-E2)</f>
        <v>137700800</v>
      </c>
      <c r="G2" s="11" t="s">
        <v>1</v>
      </c>
    </row>
    <row r="3" spans="1:7">
      <c r="A3" s="11" t="s">
        <v>394</v>
      </c>
      <c r="B3" s="3">
        <v>3000000</v>
      </c>
      <c r="C3" s="11">
        <v>3</v>
      </c>
      <c r="D3" s="11">
        <f t="shared" si="0"/>
        <v>1423</v>
      </c>
      <c r="E3" s="11">
        <f t="shared" ref="E3:E66" si="1">IF(B3&gt;0,1,0)</f>
        <v>1</v>
      </c>
      <c r="F3" s="11">
        <f t="shared" ref="F3:F66" si="2">B3*(D3-E3)</f>
        <v>4266000000</v>
      </c>
      <c r="G3" s="11"/>
    </row>
    <row r="4" spans="1:7">
      <c r="A4" s="11" t="s">
        <v>393</v>
      </c>
      <c r="B4" s="3">
        <v>-200000</v>
      </c>
      <c r="C4" s="11">
        <v>2</v>
      </c>
      <c r="D4" s="11">
        <f t="shared" si="0"/>
        <v>1420</v>
      </c>
      <c r="E4" s="11">
        <f t="shared" si="1"/>
        <v>0</v>
      </c>
      <c r="F4" s="11">
        <f t="shared" si="2"/>
        <v>-284000000</v>
      </c>
      <c r="G4" s="11"/>
    </row>
    <row r="5" spans="1:7">
      <c r="A5" s="11" t="s">
        <v>392</v>
      </c>
      <c r="B5" s="3">
        <v>-100000</v>
      </c>
      <c r="C5" s="11">
        <v>1</v>
      </c>
      <c r="D5" s="11">
        <f t="shared" si="0"/>
        <v>1418</v>
      </c>
      <c r="E5" s="11">
        <f t="shared" si="1"/>
        <v>0</v>
      </c>
      <c r="F5" s="11">
        <f t="shared" si="2"/>
        <v>-141800000</v>
      </c>
      <c r="G5" s="11"/>
    </row>
    <row r="6" spans="1:7">
      <c r="A6" s="11" t="s">
        <v>391</v>
      </c>
      <c r="B6" s="3">
        <v>-55000</v>
      </c>
      <c r="C6" s="11">
        <v>1</v>
      </c>
      <c r="D6" s="11">
        <f t="shared" si="0"/>
        <v>1417</v>
      </c>
      <c r="E6" s="11">
        <f t="shared" si="1"/>
        <v>0</v>
      </c>
      <c r="F6" s="11">
        <f t="shared" si="2"/>
        <v>-77935000</v>
      </c>
      <c r="G6" s="11"/>
    </row>
    <row r="7" spans="1:7">
      <c r="A7" s="11" t="s">
        <v>390</v>
      </c>
      <c r="B7" s="3">
        <v>-200000</v>
      </c>
      <c r="C7" s="11">
        <v>4</v>
      </c>
      <c r="D7" s="11">
        <f t="shared" si="0"/>
        <v>1416</v>
      </c>
      <c r="E7" s="11">
        <f t="shared" si="1"/>
        <v>0</v>
      </c>
      <c r="F7" s="11">
        <f t="shared" si="2"/>
        <v>-283200000</v>
      </c>
      <c r="G7" s="11"/>
    </row>
    <row r="8" spans="1:7">
      <c r="A8" s="11" t="s">
        <v>389</v>
      </c>
      <c r="B8" s="3">
        <v>-200000</v>
      </c>
      <c r="C8" s="11">
        <v>10</v>
      </c>
      <c r="D8" s="11">
        <f t="shared" si="0"/>
        <v>1412</v>
      </c>
      <c r="E8" s="11">
        <f t="shared" si="1"/>
        <v>0</v>
      </c>
      <c r="F8" s="11">
        <f t="shared" si="2"/>
        <v>-282400000</v>
      </c>
      <c r="G8" s="11"/>
    </row>
    <row r="9" spans="1:7">
      <c r="A9" s="11" t="s">
        <v>388</v>
      </c>
      <c r="B9" s="3">
        <v>-950500</v>
      </c>
      <c r="C9" s="11">
        <v>1</v>
      </c>
      <c r="D9" s="11">
        <f t="shared" si="0"/>
        <v>1402</v>
      </c>
      <c r="E9" s="11">
        <f t="shared" si="1"/>
        <v>0</v>
      </c>
      <c r="F9" s="11">
        <f t="shared" si="2"/>
        <v>-1332601000</v>
      </c>
      <c r="G9" s="11"/>
    </row>
    <row r="10" spans="1:7">
      <c r="A10" s="23" t="s">
        <v>387</v>
      </c>
      <c r="B10" s="3">
        <v>2000000</v>
      </c>
      <c r="C10" s="11">
        <v>2</v>
      </c>
      <c r="D10" s="11">
        <f t="shared" si="0"/>
        <v>1401</v>
      </c>
      <c r="E10" s="11">
        <f t="shared" si="1"/>
        <v>1</v>
      </c>
      <c r="F10" s="11">
        <f t="shared" si="2"/>
        <v>2800000000</v>
      </c>
      <c r="G10" s="11"/>
    </row>
    <row r="11" spans="1:7">
      <c r="A11" s="11" t="s">
        <v>386</v>
      </c>
      <c r="B11" s="3">
        <v>-1065000</v>
      </c>
      <c r="C11" s="11">
        <v>3</v>
      </c>
      <c r="D11" s="11">
        <f t="shared" si="0"/>
        <v>1399</v>
      </c>
      <c r="E11" s="11">
        <f t="shared" si="1"/>
        <v>0</v>
      </c>
      <c r="F11" s="11">
        <f t="shared" si="2"/>
        <v>-1489935000</v>
      </c>
      <c r="G11" s="11"/>
    </row>
    <row r="12" spans="1:7">
      <c r="A12" s="11" t="s">
        <v>385</v>
      </c>
      <c r="B12" s="3">
        <v>-45000</v>
      </c>
      <c r="C12" s="11">
        <v>1</v>
      </c>
      <c r="D12" s="11">
        <f t="shared" si="0"/>
        <v>1396</v>
      </c>
      <c r="E12" s="11">
        <f t="shared" si="1"/>
        <v>0</v>
      </c>
      <c r="F12" s="11">
        <f t="shared" si="2"/>
        <v>-62820000</v>
      </c>
      <c r="G12" s="11"/>
    </row>
    <row r="13" spans="1:7">
      <c r="A13" s="11" t="s">
        <v>384</v>
      </c>
      <c r="B13" s="3">
        <v>-2000700</v>
      </c>
      <c r="C13" s="11">
        <v>4</v>
      </c>
      <c r="D13" s="11">
        <f t="shared" si="0"/>
        <v>1395</v>
      </c>
      <c r="E13" s="11">
        <f t="shared" si="1"/>
        <v>0</v>
      </c>
      <c r="F13" s="11">
        <f t="shared" si="2"/>
        <v>-2790976500</v>
      </c>
      <c r="G13" s="11"/>
    </row>
    <row r="14" spans="1:7">
      <c r="A14" s="23" t="s">
        <v>383</v>
      </c>
      <c r="B14" s="3">
        <v>-200000</v>
      </c>
      <c r="C14" s="11">
        <v>2</v>
      </c>
      <c r="D14" s="11">
        <f t="shared" si="0"/>
        <v>1391</v>
      </c>
      <c r="E14" s="11">
        <f t="shared" si="1"/>
        <v>0</v>
      </c>
      <c r="F14" s="11">
        <f t="shared" si="2"/>
        <v>-278200000</v>
      </c>
      <c r="G14" s="11"/>
    </row>
    <row r="15" spans="1:7">
      <c r="A15" s="11" t="s">
        <v>382</v>
      </c>
      <c r="B15" s="3">
        <v>2000000</v>
      </c>
      <c r="C15" s="11">
        <v>0</v>
      </c>
      <c r="D15" s="11">
        <f t="shared" si="0"/>
        <v>1389</v>
      </c>
      <c r="E15" s="11">
        <f t="shared" si="1"/>
        <v>1</v>
      </c>
      <c r="F15" s="11">
        <f t="shared" si="2"/>
        <v>2776000000</v>
      </c>
      <c r="G15" s="11"/>
    </row>
    <row r="16" spans="1:7">
      <c r="A16" s="11" t="s">
        <v>382</v>
      </c>
      <c r="B16" s="3">
        <v>2000000</v>
      </c>
      <c r="C16" s="11">
        <v>0</v>
      </c>
      <c r="D16" s="11">
        <f t="shared" si="0"/>
        <v>1389</v>
      </c>
      <c r="E16" s="11">
        <f t="shared" si="1"/>
        <v>1</v>
      </c>
      <c r="F16" s="11">
        <f t="shared" si="2"/>
        <v>2776000000</v>
      </c>
      <c r="G16" s="11"/>
    </row>
    <row r="17" spans="1:12">
      <c r="A17" s="11" t="s">
        <v>382</v>
      </c>
      <c r="B17" s="3">
        <v>1200000</v>
      </c>
      <c r="C17" s="11">
        <v>0</v>
      </c>
      <c r="D17" s="11">
        <f t="shared" si="0"/>
        <v>1389</v>
      </c>
      <c r="E17" s="11">
        <f t="shared" si="1"/>
        <v>1</v>
      </c>
      <c r="F17" s="11">
        <f t="shared" si="2"/>
        <v>1665600000</v>
      </c>
      <c r="G17" s="11"/>
    </row>
    <row r="18" spans="1:12">
      <c r="A18" s="11" t="s">
        <v>382</v>
      </c>
      <c r="B18" s="3">
        <v>1000000</v>
      </c>
      <c r="C18" s="11">
        <v>1</v>
      </c>
      <c r="D18" s="11">
        <f t="shared" si="0"/>
        <v>1389</v>
      </c>
      <c r="E18" s="11">
        <f t="shared" si="1"/>
        <v>1</v>
      </c>
      <c r="F18" s="11">
        <f t="shared" si="2"/>
        <v>1388000000</v>
      </c>
      <c r="G18" s="11"/>
    </row>
    <row r="19" spans="1:12">
      <c r="A19" s="11" t="s">
        <v>381</v>
      </c>
      <c r="B19" s="3">
        <v>3000000</v>
      </c>
      <c r="C19" s="11">
        <v>0</v>
      </c>
      <c r="D19" s="11">
        <f t="shared" si="0"/>
        <v>1388</v>
      </c>
      <c r="E19" s="11">
        <f t="shared" si="1"/>
        <v>1</v>
      </c>
      <c r="F19" s="11">
        <f t="shared" si="2"/>
        <v>4161000000</v>
      </c>
      <c r="G19" s="11"/>
      <c r="L19" t="s">
        <v>25</v>
      </c>
    </row>
    <row r="20" spans="1:12">
      <c r="A20" s="11" t="s">
        <v>381</v>
      </c>
      <c r="B20" s="3">
        <v>-432700</v>
      </c>
      <c r="C20" s="11">
        <v>0</v>
      </c>
      <c r="D20" s="11">
        <f t="shared" si="0"/>
        <v>1388</v>
      </c>
      <c r="E20" s="11">
        <f t="shared" si="1"/>
        <v>0</v>
      </c>
      <c r="F20" s="11">
        <f t="shared" si="2"/>
        <v>-600587600</v>
      </c>
      <c r="G20" s="11"/>
    </row>
    <row r="21" spans="1:12">
      <c r="A21" s="11" t="s">
        <v>381</v>
      </c>
      <c r="B21" s="3">
        <v>-432700</v>
      </c>
      <c r="C21" s="11">
        <v>0</v>
      </c>
      <c r="D21" s="11">
        <f t="shared" si="0"/>
        <v>1388</v>
      </c>
      <c r="E21" s="11">
        <f t="shared" si="1"/>
        <v>0</v>
      </c>
      <c r="F21" s="11">
        <f t="shared" si="2"/>
        <v>-600587600</v>
      </c>
      <c r="G21" s="11"/>
    </row>
    <row r="22" spans="1:12">
      <c r="A22" s="11" t="s">
        <v>381</v>
      </c>
      <c r="B22" s="3">
        <v>-432700</v>
      </c>
      <c r="C22" s="11">
        <v>0</v>
      </c>
      <c r="D22" s="11">
        <f t="shared" si="0"/>
        <v>1388</v>
      </c>
      <c r="E22" s="11">
        <f t="shared" si="1"/>
        <v>0</v>
      </c>
      <c r="F22" s="11">
        <f t="shared" si="2"/>
        <v>-600587600</v>
      </c>
      <c r="G22" s="11"/>
    </row>
    <row r="23" spans="1:12">
      <c r="A23" s="11" t="s">
        <v>381</v>
      </c>
      <c r="B23" s="3">
        <v>-432700</v>
      </c>
      <c r="C23" s="11">
        <v>0</v>
      </c>
      <c r="D23" s="11">
        <f t="shared" si="0"/>
        <v>1388</v>
      </c>
      <c r="E23" s="11">
        <f t="shared" si="1"/>
        <v>0</v>
      </c>
      <c r="F23" s="11">
        <f t="shared" si="2"/>
        <v>-600587600</v>
      </c>
      <c r="G23" s="11"/>
    </row>
    <row r="24" spans="1:12">
      <c r="A24" s="11" t="s">
        <v>381</v>
      </c>
      <c r="B24" s="3">
        <v>-432700</v>
      </c>
      <c r="C24" s="11">
        <v>0</v>
      </c>
      <c r="D24" s="11">
        <f t="shared" si="0"/>
        <v>1388</v>
      </c>
      <c r="E24" s="11">
        <f t="shared" si="1"/>
        <v>0</v>
      </c>
      <c r="F24" s="11">
        <f t="shared" si="2"/>
        <v>-600587600</v>
      </c>
      <c r="G24" s="11"/>
    </row>
    <row r="25" spans="1:12">
      <c r="A25" s="11" t="s">
        <v>381</v>
      </c>
      <c r="B25" s="3">
        <v>-200000</v>
      </c>
      <c r="C25" s="11">
        <v>1</v>
      </c>
      <c r="D25" s="11">
        <f t="shared" si="0"/>
        <v>1388</v>
      </c>
      <c r="E25" s="11">
        <f t="shared" si="1"/>
        <v>0</v>
      </c>
      <c r="F25" s="11">
        <f t="shared" si="2"/>
        <v>-277600000</v>
      </c>
      <c r="G25" s="11"/>
    </row>
    <row r="26" spans="1:12">
      <c r="A26" s="11" t="s">
        <v>380</v>
      </c>
      <c r="B26" s="3">
        <v>3000000</v>
      </c>
      <c r="C26" s="11">
        <v>2</v>
      </c>
      <c r="D26" s="11">
        <f t="shared" si="0"/>
        <v>1387</v>
      </c>
      <c r="E26" s="11">
        <f t="shared" si="1"/>
        <v>1</v>
      </c>
      <c r="F26" s="11">
        <f t="shared" si="2"/>
        <v>4158000000</v>
      </c>
      <c r="G26" s="11"/>
    </row>
    <row r="27" spans="1:12">
      <c r="A27" s="11" t="s">
        <v>379</v>
      </c>
      <c r="B27" s="3">
        <v>-200000</v>
      </c>
      <c r="C27" s="11">
        <v>1</v>
      </c>
      <c r="D27" s="11">
        <f t="shared" si="0"/>
        <v>1385</v>
      </c>
      <c r="E27" s="11">
        <f t="shared" si="1"/>
        <v>0</v>
      </c>
      <c r="F27" s="11">
        <f t="shared" si="2"/>
        <v>-277000000</v>
      </c>
      <c r="G27" s="11"/>
    </row>
    <row r="28" spans="1:12">
      <c r="A28" s="11" t="s">
        <v>378</v>
      </c>
      <c r="B28" s="3">
        <v>2000000</v>
      </c>
      <c r="C28" s="11">
        <v>1</v>
      </c>
      <c r="D28" s="11">
        <f t="shared" si="0"/>
        <v>1384</v>
      </c>
      <c r="E28" s="11">
        <f t="shared" si="1"/>
        <v>1</v>
      </c>
      <c r="F28" s="11">
        <f t="shared" si="2"/>
        <v>2766000000</v>
      </c>
      <c r="G28" s="11"/>
    </row>
    <row r="29" spans="1:12">
      <c r="A29" s="11" t="s">
        <v>377</v>
      </c>
      <c r="B29" s="3">
        <v>-7000800</v>
      </c>
      <c r="C29" s="11">
        <v>1</v>
      </c>
      <c r="D29" s="11">
        <f t="shared" si="0"/>
        <v>1383</v>
      </c>
      <c r="E29" s="11">
        <f t="shared" si="1"/>
        <v>0</v>
      </c>
      <c r="F29" s="11">
        <f t="shared" si="2"/>
        <v>-9682106400</v>
      </c>
      <c r="G29" s="11"/>
    </row>
    <row r="30" spans="1:12">
      <c r="A30" s="23" t="s">
        <v>54</v>
      </c>
      <c r="B30" s="3">
        <v>-3000900</v>
      </c>
      <c r="C30" s="11">
        <v>1</v>
      </c>
      <c r="D30" s="11">
        <f t="shared" si="0"/>
        <v>1382</v>
      </c>
      <c r="E30" s="11">
        <f t="shared" si="1"/>
        <v>0</v>
      </c>
      <c r="F30" s="11">
        <f t="shared" si="2"/>
        <v>-4147243800</v>
      </c>
      <c r="G30" s="11"/>
    </row>
    <row r="31" spans="1:12">
      <c r="A31" s="11" t="s">
        <v>55</v>
      </c>
      <c r="B31" s="3">
        <v>-1695900</v>
      </c>
      <c r="C31" s="11">
        <v>3</v>
      </c>
      <c r="D31" s="11">
        <f t="shared" si="0"/>
        <v>1381</v>
      </c>
      <c r="E31" s="11">
        <f t="shared" si="1"/>
        <v>0</v>
      </c>
      <c r="F31" s="11">
        <f t="shared" si="2"/>
        <v>-2342037900</v>
      </c>
      <c r="G31" s="11"/>
    </row>
    <row r="32" spans="1:12">
      <c r="A32" s="11" t="s">
        <v>376</v>
      </c>
      <c r="B32" s="3">
        <v>994300</v>
      </c>
      <c r="C32" s="11">
        <v>6</v>
      </c>
      <c r="D32" s="11">
        <f t="shared" si="0"/>
        <v>1378</v>
      </c>
      <c r="E32" s="11">
        <f t="shared" si="1"/>
        <v>1</v>
      </c>
      <c r="F32" s="11">
        <f t="shared" si="2"/>
        <v>1369151100</v>
      </c>
      <c r="G32" s="11"/>
    </row>
    <row r="33" spans="1:7">
      <c r="A33" s="11" t="s">
        <v>374</v>
      </c>
      <c r="B33" s="3">
        <v>35091</v>
      </c>
      <c r="C33" s="11">
        <v>1</v>
      </c>
      <c r="D33" s="11">
        <f t="shared" si="0"/>
        <v>1372</v>
      </c>
      <c r="E33" s="11">
        <f t="shared" si="1"/>
        <v>1</v>
      </c>
      <c r="F33" s="11">
        <f t="shared" si="2"/>
        <v>48109761</v>
      </c>
      <c r="G33" s="11" t="s">
        <v>375</v>
      </c>
    </row>
    <row r="34" spans="1:7">
      <c r="A34" s="11" t="s">
        <v>373</v>
      </c>
      <c r="B34" s="3">
        <v>-850000</v>
      </c>
      <c r="C34" s="11">
        <v>8</v>
      </c>
      <c r="D34" s="11">
        <f t="shared" si="0"/>
        <v>1371</v>
      </c>
      <c r="E34" s="11">
        <f t="shared" si="1"/>
        <v>0</v>
      </c>
      <c r="F34" s="11">
        <f t="shared" si="2"/>
        <v>-1165350000</v>
      </c>
      <c r="G34" s="11"/>
    </row>
    <row r="35" spans="1:7">
      <c r="A35" s="23" t="s">
        <v>372</v>
      </c>
      <c r="B35" s="3">
        <v>-190500</v>
      </c>
      <c r="C35" s="11">
        <v>1</v>
      </c>
      <c r="D35" s="11">
        <f t="shared" si="0"/>
        <v>1363</v>
      </c>
      <c r="E35" s="11">
        <f t="shared" si="1"/>
        <v>0</v>
      </c>
      <c r="F35" s="11">
        <f t="shared" si="2"/>
        <v>-259651500</v>
      </c>
      <c r="G35" s="11"/>
    </row>
    <row r="36" spans="1:7">
      <c r="A36" s="37" t="s">
        <v>80</v>
      </c>
      <c r="B36" s="3">
        <v>200000</v>
      </c>
      <c r="C36" s="11">
        <v>0</v>
      </c>
      <c r="D36" s="11">
        <f t="shared" si="0"/>
        <v>1362</v>
      </c>
      <c r="E36" s="11">
        <f t="shared" si="1"/>
        <v>1</v>
      </c>
      <c r="F36" s="11">
        <f t="shared" si="2"/>
        <v>272200000</v>
      </c>
      <c r="G36" s="11"/>
    </row>
    <row r="37" spans="1:7">
      <c r="A37" s="11" t="s">
        <v>80</v>
      </c>
      <c r="B37" s="3">
        <v>-200000</v>
      </c>
      <c r="C37" s="11">
        <v>22</v>
      </c>
      <c r="D37" s="11">
        <f t="shared" si="0"/>
        <v>1362</v>
      </c>
      <c r="E37" s="11">
        <f t="shared" si="1"/>
        <v>0</v>
      </c>
      <c r="F37" s="11">
        <f t="shared" si="2"/>
        <v>-272400000</v>
      </c>
      <c r="G37" s="11"/>
    </row>
    <row r="38" spans="1:7">
      <c r="A38" s="23" t="s">
        <v>371</v>
      </c>
      <c r="B38" s="3">
        <v>300806</v>
      </c>
      <c r="C38" s="11">
        <v>1</v>
      </c>
      <c r="D38" s="11">
        <f t="shared" si="0"/>
        <v>1340</v>
      </c>
      <c r="E38" s="11">
        <f t="shared" si="1"/>
        <v>1</v>
      </c>
      <c r="F38" s="11">
        <f t="shared" si="2"/>
        <v>402779234</v>
      </c>
      <c r="G38" s="11" t="s">
        <v>395</v>
      </c>
    </row>
    <row r="39" spans="1:7">
      <c r="A39" s="11" t="s">
        <v>370</v>
      </c>
      <c r="B39" s="3">
        <v>-95000</v>
      </c>
      <c r="C39" s="11">
        <v>0</v>
      </c>
      <c r="D39" s="11">
        <f t="shared" si="0"/>
        <v>1339</v>
      </c>
      <c r="E39" s="11">
        <f t="shared" si="1"/>
        <v>0</v>
      </c>
      <c r="F39" s="11">
        <f t="shared" si="2"/>
        <v>-127205000</v>
      </c>
      <c r="G39" s="11"/>
    </row>
    <row r="40" spans="1:7">
      <c r="A40" s="11" t="s">
        <v>370</v>
      </c>
      <c r="B40" s="3">
        <v>-88103</v>
      </c>
      <c r="C40" s="11">
        <v>5</v>
      </c>
      <c r="D40" s="11">
        <f t="shared" si="0"/>
        <v>1339</v>
      </c>
      <c r="E40" s="11">
        <f t="shared" si="1"/>
        <v>0</v>
      </c>
      <c r="F40" s="11">
        <f t="shared" si="2"/>
        <v>-117969917</v>
      </c>
      <c r="G40" s="11"/>
    </row>
    <row r="41" spans="1:7">
      <c r="A41" s="11" t="s">
        <v>369</v>
      </c>
      <c r="B41" s="3">
        <v>-120000</v>
      </c>
      <c r="C41" s="11">
        <v>22</v>
      </c>
      <c r="D41" s="11">
        <f t="shared" si="0"/>
        <v>1334</v>
      </c>
      <c r="E41" s="11">
        <f t="shared" si="1"/>
        <v>0</v>
      </c>
      <c r="F41" s="11">
        <f t="shared" si="2"/>
        <v>-160080000</v>
      </c>
      <c r="G41" s="11"/>
    </row>
    <row r="42" spans="1:7">
      <c r="A42" s="11" t="s">
        <v>368</v>
      </c>
      <c r="B42" s="3">
        <v>1000204</v>
      </c>
      <c r="C42" s="11">
        <v>4</v>
      </c>
      <c r="D42" s="11">
        <f t="shared" si="0"/>
        <v>1312</v>
      </c>
      <c r="E42" s="11">
        <f t="shared" si="1"/>
        <v>1</v>
      </c>
      <c r="F42" s="11">
        <f t="shared" si="2"/>
        <v>1311267444</v>
      </c>
      <c r="G42" s="11" t="s">
        <v>396</v>
      </c>
    </row>
    <row r="43" spans="1:7">
      <c r="A43" s="11" t="s">
        <v>367</v>
      </c>
      <c r="B43" s="3">
        <v>-80000</v>
      </c>
      <c r="C43" s="11">
        <v>4</v>
      </c>
      <c r="D43" s="11">
        <f t="shared" si="0"/>
        <v>1308</v>
      </c>
      <c r="E43" s="11">
        <f t="shared" si="1"/>
        <v>0</v>
      </c>
      <c r="F43" s="11">
        <f t="shared" si="2"/>
        <v>-104640000</v>
      </c>
      <c r="G43" s="11"/>
    </row>
    <row r="44" spans="1:7">
      <c r="A44" s="11" t="s">
        <v>366</v>
      </c>
      <c r="B44" s="3">
        <v>-211029</v>
      </c>
      <c r="C44" s="11">
        <v>1</v>
      </c>
      <c r="D44" s="11">
        <f t="shared" si="0"/>
        <v>1304</v>
      </c>
      <c r="E44" s="11">
        <f t="shared" si="1"/>
        <v>0</v>
      </c>
      <c r="F44" s="11">
        <f t="shared" si="2"/>
        <v>-275181816</v>
      </c>
      <c r="G44" s="11"/>
    </row>
    <row r="45" spans="1:7">
      <c r="A45" s="11" t="s">
        <v>365</v>
      </c>
      <c r="B45" s="3">
        <v>-200000</v>
      </c>
      <c r="C45" s="11">
        <v>1</v>
      </c>
      <c r="D45" s="11">
        <f t="shared" si="0"/>
        <v>1303</v>
      </c>
      <c r="E45" s="11">
        <f t="shared" si="1"/>
        <v>0</v>
      </c>
      <c r="F45" s="11">
        <f t="shared" si="2"/>
        <v>-260600000</v>
      </c>
      <c r="G45" s="11"/>
    </row>
    <row r="46" spans="1:7">
      <c r="A46" s="11" t="s">
        <v>364</v>
      </c>
      <c r="B46" s="3">
        <v>-95000</v>
      </c>
      <c r="C46" s="11">
        <v>2</v>
      </c>
      <c r="D46" s="11">
        <f t="shared" si="0"/>
        <v>1302</v>
      </c>
      <c r="E46" s="11">
        <f t="shared" si="1"/>
        <v>0</v>
      </c>
      <c r="F46" s="11">
        <f t="shared" si="2"/>
        <v>-123690000</v>
      </c>
      <c r="G46" s="11"/>
    </row>
    <row r="47" spans="1:7">
      <c r="A47" s="11" t="s">
        <v>363</v>
      </c>
      <c r="B47" s="3">
        <v>-45000</v>
      </c>
      <c r="C47" s="11">
        <v>0</v>
      </c>
      <c r="D47" s="11">
        <f t="shared" si="0"/>
        <v>1300</v>
      </c>
      <c r="E47" s="11">
        <f t="shared" si="1"/>
        <v>0</v>
      </c>
      <c r="F47" s="11">
        <f t="shared" si="2"/>
        <v>-58500000</v>
      </c>
      <c r="G47" s="11"/>
    </row>
    <row r="48" spans="1:7">
      <c r="A48" s="11" t="s">
        <v>363</v>
      </c>
      <c r="B48" s="3">
        <v>-64180</v>
      </c>
      <c r="C48" s="11">
        <v>3</v>
      </c>
      <c r="D48" s="11">
        <f t="shared" si="0"/>
        <v>1300</v>
      </c>
      <c r="E48" s="11">
        <f t="shared" si="1"/>
        <v>0</v>
      </c>
      <c r="F48" s="11">
        <f t="shared" si="2"/>
        <v>-83434000</v>
      </c>
      <c r="G48" s="11"/>
    </row>
    <row r="49" spans="1:7">
      <c r="A49" s="11" t="s">
        <v>362</v>
      </c>
      <c r="B49" s="3">
        <v>-27484</v>
      </c>
      <c r="C49" s="11">
        <v>1</v>
      </c>
      <c r="D49" s="11">
        <f t="shared" si="0"/>
        <v>1297</v>
      </c>
      <c r="E49" s="11">
        <f t="shared" si="1"/>
        <v>0</v>
      </c>
      <c r="F49" s="11">
        <f t="shared" si="2"/>
        <v>-35646748</v>
      </c>
      <c r="G49" s="11"/>
    </row>
    <row r="50" spans="1:7">
      <c r="A50" s="11" t="s">
        <v>361</v>
      </c>
      <c r="B50" s="3">
        <v>-141000</v>
      </c>
      <c r="C50" s="11">
        <v>0</v>
      </c>
      <c r="D50" s="11">
        <f t="shared" si="0"/>
        <v>1296</v>
      </c>
      <c r="E50" s="11">
        <f t="shared" si="1"/>
        <v>0</v>
      </c>
      <c r="F50" s="11">
        <f t="shared" si="2"/>
        <v>-182736000</v>
      </c>
      <c r="G50" s="11"/>
    </row>
    <row r="51" spans="1:7">
      <c r="A51" s="11" t="s">
        <v>361</v>
      </c>
      <c r="B51" s="3">
        <v>-26746</v>
      </c>
      <c r="C51" s="11">
        <v>1</v>
      </c>
      <c r="D51" s="11">
        <f t="shared" si="0"/>
        <v>1296</v>
      </c>
      <c r="E51" s="11">
        <f t="shared" si="1"/>
        <v>0</v>
      </c>
      <c r="F51" s="11">
        <f t="shared" si="2"/>
        <v>-34662816</v>
      </c>
      <c r="G51" s="11"/>
    </row>
    <row r="52" spans="1:7">
      <c r="A52" s="11" t="s">
        <v>360</v>
      </c>
      <c r="B52" s="3">
        <v>-53300</v>
      </c>
      <c r="C52" s="11">
        <v>1</v>
      </c>
      <c r="D52" s="11">
        <f t="shared" si="0"/>
        <v>1295</v>
      </c>
      <c r="E52" s="11">
        <f t="shared" si="1"/>
        <v>0</v>
      </c>
      <c r="F52" s="11">
        <f t="shared" si="2"/>
        <v>-69023500</v>
      </c>
      <c r="G52" s="11"/>
    </row>
    <row r="53" spans="1:7">
      <c r="A53" s="11" t="s">
        <v>126</v>
      </c>
      <c r="B53" s="3">
        <v>1000000</v>
      </c>
      <c r="C53" s="11">
        <v>6</v>
      </c>
      <c r="D53" s="11">
        <f t="shared" si="0"/>
        <v>1294</v>
      </c>
      <c r="E53" s="11">
        <f t="shared" si="1"/>
        <v>1</v>
      </c>
      <c r="F53" s="11">
        <f t="shared" si="2"/>
        <v>1293000000</v>
      </c>
      <c r="G53" s="11"/>
    </row>
    <row r="54" spans="1:7">
      <c r="A54" s="11" t="s">
        <v>359</v>
      </c>
      <c r="B54" s="3">
        <v>-21000</v>
      </c>
      <c r="C54" s="11">
        <v>1</v>
      </c>
      <c r="D54" s="11">
        <f t="shared" si="0"/>
        <v>1288</v>
      </c>
      <c r="E54" s="11">
        <f t="shared" si="1"/>
        <v>0</v>
      </c>
      <c r="F54" s="11">
        <f t="shared" si="2"/>
        <v>-27048000</v>
      </c>
      <c r="G54" s="11"/>
    </row>
    <row r="55" spans="1:7">
      <c r="A55" s="11" t="s">
        <v>131</v>
      </c>
      <c r="B55" s="3">
        <v>-980500</v>
      </c>
      <c r="C55" s="11">
        <v>0</v>
      </c>
      <c r="D55" s="11">
        <f t="shared" si="0"/>
        <v>1287</v>
      </c>
      <c r="E55" s="11">
        <f t="shared" si="1"/>
        <v>0</v>
      </c>
      <c r="F55" s="11">
        <f t="shared" si="2"/>
        <v>-1261903500</v>
      </c>
      <c r="G55" s="11"/>
    </row>
    <row r="56" spans="1:7">
      <c r="A56" s="11" t="s">
        <v>131</v>
      </c>
      <c r="B56" s="3">
        <v>-45000</v>
      </c>
      <c r="C56" s="11">
        <v>13</v>
      </c>
      <c r="D56" s="11">
        <f t="shared" si="0"/>
        <v>1287</v>
      </c>
      <c r="E56" s="11">
        <f t="shared" si="1"/>
        <v>0</v>
      </c>
      <c r="F56" s="11">
        <f t="shared" si="2"/>
        <v>-57915000</v>
      </c>
      <c r="G56" s="11"/>
    </row>
    <row r="57" spans="1:7">
      <c r="A57" s="11" t="s">
        <v>358</v>
      </c>
      <c r="B57" s="3">
        <v>3005189</v>
      </c>
      <c r="C57" s="11">
        <v>0</v>
      </c>
      <c r="D57" s="11">
        <f t="shared" si="0"/>
        <v>1274</v>
      </c>
      <c r="E57" s="11">
        <f t="shared" si="1"/>
        <v>1</v>
      </c>
      <c r="F57" s="11">
        <f t="shared" si="2"/>
        <v>3825605597</v>
      </c>
      <c r="G57" s="11" t="s">
        <v>397</v>
      </c>
    </row>
    <row r="58" spans="1:7">
      <c r="A58" s="11" t="s">
        <v>358</v>
      </c>
      <c r="B58" s="3">
        <v>2000000</v>
      </c>
      <c r="C58" s="11">
        <v>1</v>
      </c>
      <c r="D58" s="11">
        <f t="shared" si="0"/>
        <v>1274</v>
      </c>
      <c r="E58" s="11">
        <f t="shared" si="1"/>
        <v>1</v>
      </c>
      <c r="F58" s="11">
        <f t="shared" si="2"/>
        <v>2546000000</v>
      </c>
      <c r="G58" s="11"/>
    </row>
    <row r="59" spans="1:7">
      <c r="A59" s="11" t="s">
        <v>143</v>
      </c>
      <c r="B59" s="3">
        <v>2000000</v>
      </c>
      <c r="C59" s="11">
        <v>0</v>
      </c>
      <c r="D59" s="11">
        <f t="shared" si="0"/>
        <v>1273</v>
      </c>
      <c r="E59" s="11">
        <f t="shared" si="1"/>
        <v>1</v>
      </c>
      <c r="F59" s="11">
        <f t="shared" si="2"/>
        <v>2544000000</v>
      </c>
      <c r="G59" s="11"/>
    </row>
    <row r="60" spans="1:7">
      <c r="A60" s="11" t="s">
        <v>143</v>
      </c>
      <c r="B60" s="3">
        <v>-7001500</v>
      </c>
      <c r="C60" s="11">
        <v>24</v>
      </c>
      <c r="D60" s="11">
        <f t="shared" si="0"/>
        <v>1273</v>
      </c>
      <c r="E60" s="11">
        <f t="shared" si="1"/>
        <v>0</v>
      </c>
      <c r="F60" s="11">
        <f t="shared" si="2"/>
        <v>-8912909500</v>
      </c>
      <c r="G60" s="11"/>
    </row>
    <row r="61" spans="1:7">
      <c r="A61" s="11" t="s">
        <v>357</v>
      </c>
      <c r="B61" s="3">
        <v>3000000</v>
      </c>
      <c r="C61" s="11">
        <v>1</v>
      </c>
      <c r="D61" s="11">
        <f t="shared" si="0"/>
        <v>1249</v>
      </c>
      <c r="E61" s="11">
        <f t="shared" si="1"/>
        <v>1</v>
      </c>
      <c r="F61" s="11">
        <f t="shared" si="2"/>
        <v>3744000000</v>
      </c>
      <c r="G61" s="11"/>
    </row>
    <row r="62" spans="1:7">
      <c r="A62" s="11" t="s">
        <v>356</v>
      </c>
      <c r="B62" s="3">
        <v>-27109</v>
      </c>
      <c r="C62" s="11">
        <v>0</v>
      </c>
      <c r="D62" s="11">
        <f t="shared" si="0"/>
        <v>1248</v>
      </c>
      <c r="E62" s="11">
        <f t="shared" si="1"/>
        <v>0</v>
      </c>
      <c r="F62" s="11">
        <f t="shared" si="2"/>
        <v>-33832032</v>
      </c>
      <c r="G62" s="11"/>
    </row>
    <row r="63" spans="1:7">
      <c r="A63" s="11" t="s">
        <v>356</v>
      </c>
      <c r="B63" s="3">
        <v>-32989</v>
      </c>
      <c r="C63" s="11">
        <v>0</v>
      </c>
      <c r="D63" s="11">
        <f t="shared" si="0"/>
        <v>1248</v>
      </c>
      <c r="E63" s="11">
        <f t="shared" si="1"/>
        <v>0</v>
      </c>
      <c r="F63" s="11">
        <f t="shared" si="2"/>
        <v>-41170272</v>
      </c>
      <c r="G63" s="11"/>
    </row>
    <row r="64" spans="1:7">
      <c r="A64" s="11" t="s">
        <v>356</v>
      </c>
      <c r="B64" s="3">
        <v>3000000</v>
      </c>
      <c r="C64" s="11">
        <v>0</v>
      </c>
      <c r="D64" s="11">
        <f t="shared" si="0"/>
        <v>1248</v>
      </c>
      <c r="E64" s="11">
        <f t="shared" si="1"/>
        <v>1</v>
      </c>
      <c r="F64" s="11">
        <f t="shared" si="2"/>
        <v>3741000000</v>
      </c>
      <c r="G64" s="11"/>
    </row>
    <row r="65" spans="1:7">
      <c r="A65" s="11" t="s">
        <v>356</v>
      </c>
      <c r="B65" s="3">
        <v>2970000</v>
      </c>
      <c r="C65" s="11">
        <v>0</v>
      </c>
      <c r="D65" s="11">
        <f t="shared" si="0"/>
        <v>1248</v>
      </c>
      <c r="E65" s="11">
        <f t="shared" si="1"/>
        <v>1</v>
      </c>
      <c r="F65" s="11">
        <f t="shared" si="2"/>
        <v>3703590000</v>
      </c>
      <c r="G65" s="11"/>
    </row>
    <row r="66" spans="1:7">
      <c r="A66" s="11" t="s">
        <v>356</v>
      </c>
      <c r="B66" s="3">
        <v>1000000</v>
      </c>
      <c r="C66" s="11">
        <v>0</v>
      </c>
      <c r="D66" s="11">
        <f t="shared" ref="D66:D129" si="3">D67+C66</f>
        <v>1248</v>
      </c>
      <c r="E66" s="11">
        <f t="shared" si="1"/>
        <v>1</v>
      </c>
      <c r="F66" s="11">
        <f t="shared" si="2"/>
        <v>1247000000</v>
      </c>
      <c r="G66" s="11"/>
    </row>
    <row r="67" spans="1:7">
      <c r="A67" s="11" t="s">
        <v>356</v>
      </c>
      <c r="B67" s="3">
        <v>30000</v>
      </c>
      <c r="C67" s="11">
        <v>1</v>
      </c>
      <c r="D67" s="11">
        <f t="shared" si="3"/>
        <v>1248</v>
      </c>
      <c r="E67" s="11">
        <f t="shared" ref="E67:E130" si="4">IF(B67&gt;0,1,0)</f>
        <v>1</v>
      </c>
      <c r="F67" s="11">
        <f t="shared" ref="F67:F249" si="5">B67*(D67-E67)</f>
        <v>37410000</v>
      </c>
      <c r="G67" s="11"/>
    </row>
    <row r="68" spans="1:7">
      <c r="A68" s="11" t="s">
        <v>355</v>
      </c>
      <c r="B68" s="3">
        <v>30000000</v>
      </c>
      <c r="C68" s="11">
        <v>1</v>
      </c>
      <c r="D68" s="11">
        <f t="shared" si="3"/>
        <v>1247</v>
      </c>
      <c r="E68" s="11">
        <f t="shared" si="4"/>
        <v>1</v>
      </c>
      <c r="F68" s="11">
        <f t="shared" si="5"/>
        <v>37380000000</v>
      </c>
      <c r="G68" s="11"/>
    </row>
    <row r="69" spans="1:7">
      <c r="A69" s="11" t="s">
        <v>196</v>
      </c>
      <c r="B69" s="3">
        <v>-200000</v>
      </c>
      <c r="C69" s="11">
        <v>0</v>
      </c>
      <c r="D69" s="11">
        <f t="shared" si="3"/>
        <v>1246</v>
      </c>
      <c r="E69" s="11">
        <f t="shared" si="4"/>
        <v>0</v>
      </c>
      <c r="F69" s="11">
        <f t="shared" si="5"/>
        <v>-249200000</v>
      </c>
      <c r="G69" s="11"/>
    </row>
    <row r="70" spans="1:7">
      <c r="A70" s="11" t="s">
        <v>354</v>
      </c>
      <c r="B70" s="3">
        <v>1400000</v>
      </c>
      <c r="C70" s="11">
        <v>0</v>
      </c>
      <c r="D70" s="11">
        <f t="shared" si="3"/>
        <v>1246</v>
      </c>
      <c r="E70" s="11">
        <f t="shared" si="4"/>
        <v>1</v>
      </c>
      <c r="F70" s="11">
        <f t="shared" si="5"/>
        <v>1743000000</v>
      </c>
      <c r="G70" s="11"/>
    </row>
    <row r="71" spans="1:7">
      <c r="A71" s="11" t="s">
        <v>354</v>
      </c>
      <c r="B71" s="3">
        <v>2600000</v>
      </c>
      <c r="C71" s="11">
        <v>0</v>
      </c>
      <c r="D71" s="11">
        <f t="shared" si="3"/>
        <v>1246</v>
      </c>
      <c r="E71" s="11">
        <f t="shared" si="4"/>
        <v>1</v>
      </c>
      <c r="F71" s="11">
        <f t="shared" si="5"/>
        <v>3237000000</v>
      </c>
      <c r="G71" s="11"/>
    </row>
    <row r="72" spans="1:7">
      <c r="A72" s="11" t="s">
        <v>354</v>
      </c>
      <c r="B72" s="3">
        <v>-1000000</v>
      </c>
      <c r="C72" s="11">
        <v>2</v>
      </c>
      <c r="D72" s="11">
        <f t="shared" si="3"/>
        <v>1246</v>
      </c>
      <c r="E72" s="11">
        <f t="shared" si="4"/>
        <v>0</v>
      </c>
      <c r="F72" s="11">
        <f t="shared" si="5"/>
        <v>-1246000000</v>
      </c>
      <c r="G72" s="11"/>
    </row>
    <row r="73" spans="1:7">
      <c r="A73" s="11" t="s">
        <v>353</v>
      </c>
      <c r="B73" s="3">
        <v>15000000</v>
      </c>
      <c r="C73" s="11">
        <v>5</v>
      </c>
      <c r="D73" s="11">
        <f t="shared" si="3"/>
        <v>1244</v>
      </c>
      <c r="E73" s="11">
        <f t="shared" si="4"/>
        <v>1</v>
      </c>
      <c r="F73" s="11">
        <f t="shared" si="5"/>
        <v>18645000000</v>
      </c>
      <c r="G73" s="11"/>
    </row>
    <row r="74" spans="1:7">
      <c r="A74" s="23" t="s">
        <v>277</v>
      </c>
      <c r="B74" s="3">
        <v>-15004200</v>
      </c>
      <c r="C74" s="11">
        <v>2</v>
      </c>
      <c r="D74" s="11">
        <f t="shared" si="3"/>
        <v>1239</v>
      </c>
      <c r="E74" s="11">
        <f t="shared" si="4"/>
        <v>0</v>
      </c>
      <c r="F74" s="11">
        <f t="shared" si="5"/>
        <v>-18590203800</v>
      </c>
      <c r="G74" s="11"/>
    </row>
    <row r="75" spans="1:7">
      <c r="A75" s="11" t="s">
        <v>275</v>
      </c>
      <c r="B75" s="3">
        <v>-3000000</v>
      </c>
      <c r="C75" s="11">
        <v>0</v>
      </c>
      <c r="D75" s="11">
        <f t="shared" si="3"/>
        <v>1237</v>
      </c>
      <c r="E75" s="11">
        <f t="shared" si="4"/>
        <v>0</v>
      </c>
      <c r="F75" s="11">
        <f t="shared" si="5"/>
        <v>-3711000000</v>
      </c>
      <c r="G75" s="11"/>
    </row>
    <row r="76" spans="1:7">
      <c r="A76" s="11" t="s">
        <v>275</v>
      </c>
      <c r="B76" s="3">
        <v>-200000</v>
      </c>
      <c r="C76" s="11">
        <v>0</v>
      </c>
      <c r="D76" s="11">
        <f t="shared" si="3"/>
        <v>1237</v>
      </c>
      <c r="E76" s="11">
        <f t="shared" si="4"/>
        <v>0</v>
      </c>
      <c r="F76" s="11">
        <f t="shared" si="5"/>
        <v>-247400000</v>
      </c>
      <c r="G76" s="11"/>
    </row>
    <row r="77" spans="1:7">
      <c r="A77" s="23" t="s">
        <v>275</v>
      </c>
      <c r="B77" s="3">
        <v>-12003000</v>
      </c>
      <c r="C77" s="11">
        <v>4</v>
      </c>
      <c r="D77" s="11">
        <f t="shared" si="3"/>
        <v>1237</v>
      </c>
      <c r="E77" s="11">
        <f t="shared" si="4"/>
        <v>0</v>
      </c>
      <c r="F77" s="11">
        <f t="shared" si="5"/>
        <v>-14847711000</v>
      </c>
      <c r="G77" s="11"/>
    </row>
    <row r="78" spans="1:7">
      <c r="A78" s="23" t="s">
        <v>228</v>
      </c>
      <c r="B78" s="3">
        <v>-3000900</v>
      </c>
      <c r="C78" s="11">
        <v>5</v>
      </c>
      <c r="D78" s="11">
        <f t="shared" si="3"/>
        <v>1233</v>
      </c>
      <c r="E78" s="11">
        <f t="shared" si="4"/>
        <v>0</v>
      </c>
      <c r="F78" s="11">
        <f t="shared" si="5"/>
        <v>-3700109700</v>
      </c>
      <c r="G78" s="11"/>
    </row>
    <row r="79" spans="1:7">
      <c r="A79" s="11" t="s">
        <v>352</v>
      </c>
      <c r="B79" s="3">
        <v>23000000</v>
      </c>
      <c r="C79" s="11">
        <v>5</v>
      </c>
      <c r="D79" s="11">
        <f t="shared" si="3"/>
        <v>1228</v>
      </c>
      <c r="E79" s="11">
        <f t="shared" si="4"/>
        <v>1</v>
      </c>
      <c r="F79" s="11">
        <f t="shared" si="5"/>
        <v>28221000000</v>
      </c>
      <c r="G79" s="11"/>
    </row>
    <row r="80" spans="1:7">
      <c r="A80" s="23" t="s">
        <v>237</v>
      </c>
      <c r="B80" s="3">
        <v>-600500</v>
      </c>
      <c r="C80" s="11">
        <v>0</v>
      </c>
      <c r="D80" s="11">
        <f t="shared" si="3"/>
        <v>1223</v>
      </c>
      <c r="E80" s="11">
        <f t="shared" si="4"/>
        <v>0</v>
      </c>
      <c r="F80" s="11">
        <f t="shared" si="5"/>
        <v>-734411500</v>
      </c>
      <c r="G80" s="11"/>
    </row>
    <row r="81" spans="1:10">
      <c r="A81" s="20" t="s">
        <v>237</v>
      </c>
      <c r="B81" s="3">
        <v>-200000</v>
      </c>
      <c r="C81" s="11">
        <v>1</v>
      </c>
      <c r="D81" s="11">
        <f t="shared" si="3"/>
        <v>1223</v>
      </c>
      <c r="E81" s="11">
        <f t="shared" si="4"/>
        <v>0</v>
      </c>
      <c r="F81" s="11">
        <f t="shared" si="5"/>
        <v>-244600000</v>
      </c>
      <c r="G81" s="11"/>
    </row>
    <row r="82" spans="1:10">
      <c r="A82" s="11" t="s">
        <v>241</v>
      </c>
      <c r="B82" s="3">
        <v>283221</v>
      </c>
      <c r="C82" s="11">
        <v>0</v>
      </c>
      <c r="D82" s="11">
        <f t="shared" si="3"/>
        <v>1222</v>
      </c>
      <c r="E82" s="11">
        <f t="shared" si="4"/>
        <v>1</v>
      </c>
      <c r="F82" s="11">
        <f t="shared" si="5"/>
        <v>345812841</v>
      </c>
      <c r="G82" s="11" t="s">
        <v>242</v>
      </c>
    </row>
    <row r="83" spans="1:10">
      <c r="A83" s="11" t="s">
        <v>241</v>
      </c>
      <c r="B83" s="3">
        <v>-200000</v>
      </c>
      <c r="C83" s="11">
        <v>2</v>
      </c>
      <c r="D83" s="11">
        <f t="shared" si="3"/>
        <v>1222</v>
      </c>
      <c r="E83" s="11">
        <f t="shared" si="4"/>
        <v>0</v>
      </c>
      <c r="F83" s="11">
        <f t="shared" si="5"/>
        <v>-244400000</v>
      </c>
      <c r="G83" s="11"/>
    </row>
    <row r="84" spans="1:10">
      <c r="A84" s="11" t="s">
        <v>351</v>
      </c>
      <c r="B84" s="3">
        <v>2000000</v>
      </c>
      <c r="C84" s="11">
        <v>3</v>
      </c>
      <c r="D84" s="11">
        <f t="shared" si="3"/>
        <v>1220</v>
      </c>
      <c r="E84" s="11">
        <f t="shared" si="4"/>
        <v>1</v>
      </c>
      <c r="F84" s="11">
        <f t="shared" si="5"/>
        <v>2438000000</v>
      </c>
      <c r="G84" s="11"/>
    </row>
    <row r="85" spans="1:10">
      <c r="A85" s="11" t="s">
        <v>245</v>
      </c>
      <c r="B85" s="3">
        <v>-200000</v>
      </c>
      <c r="C85" s="11">
        <v>6</v>
      </c>
      <c r="D85" s="11">
        <f t="shared" si="3"/>
        <v>1217</v>
      </c>
      <c r="E85" s="11">
        <f t="shared" si="4"/>
        <v>0</v>
      </c>
      <c r="F85" s="11">
        <f t="shared" si="5"/>
        <v>-243400000</v>
      </c>
      <c r="G85" s="11"/>
    </row>
    <row r="86" spans="1:10">
      <c r="A86" s="11" t="s">
        <v>350</v>
      </c>
      <c r="B86" s="3">
        <v>-200000</v>
      </c>
      <c r="C86" s="11">
        <v>2</v>
      </c>
      <c r="D86" s="11">
        <f t="shared" si="3"/>
        <v>1211</v>
      </c>
      <c r="E86" s="11">
        <f t="shared" si="4"/>
        <v>0</v>
      </c>
      <c r="F86" s="11">
        <f t="shared" si="5"/>
        <v>-242200000</v>
      </c>
      <c r="G86" s="11"/>
    </row>
    <row r="87" spans="1:10">
      <c r="A87" s="11" t="s">
        <v>250</v>
      </c>
      <c r="B87" s="3">
        <v>-1325000</v>
      </c>
      <c r="C87" s="11">
        <v>15</v>
      </c>
      <c r="D87" s="11">
        <f t="shared" si="3"/>
        <v>1209</v>
      </c>
      <c r="E87" s="11">
        <f t="shared" si="4"/>
        <v>0</v>
      </c>
      <c r="F87" s="11">
        <f t="shared" si="5"/>
        <v>-1601925000</v>
      </c>
      <c r="G87" s="11"/>
    </row>
    <row r="88" spans="1:10">
      <c r="A88" s="11" t="s">
        <v>349</v>
      </c>
      <c r="B88" s="3">
        <v>-500000</v>
      </c>
      <c r="C88" s="11">
        <v>0</v>
      </c>
      <c r="D88" s="11">
        <f t="shared" si="3"/>
        <v>1194</v>
      </c>
      <c r="E88" s="11">
        <f t="shared" si="4"/>
        <v>0</v>
      </c>
      <c r="F88" s="11">
        <f t="shared" si="5"/>
        <v>-597000000</v>
      </c>
      <c r="G88" s="11"/>
    </row>
    <row r="89" spans="1:10">
      <c r="A89" s="11" t="s">
        <v>348</v>
      </c>
      <c r="B89" s="3">
        <v>-120000</v>
      </c>
      <c r="C89" s="11">
        <v>2</v>
      </c>
      <c r="D89" s="11">
        <f t="shared" si="3"/>
        <v>1194</v>
      </c>
      <c r="E89" s="11">
        <f t="shared" si="4"/>
        <v>0</v>
      </c>
      <c r="F89" s="11">
        <f t="shared" si="5"/>
        <v>-143280000</v>
      </c>
      <c r="G89" s="11"/>
    </row>
    <row r="90" spans="1:10">
      <c r="A90" s="11" t="s">
        <v>262</v>
      </c>
      <c r="B90" s="3">
        <v>428205</v>
      </c>
      <c r="C90" s="11">
        <v>3</v>
      </c>
      <c r="D90" s="11">
        <f t="shared" si="3"/>
        <v>1192</v>
      </c>
      <c r="E90" s="11">
        <f t="shared" si="4"/>
        <v>1</v>
      </c>
      <c r="F90" s="11">
        <f t="shared" si="5"/>
        <v>509992155</v>
      </c>
      <c r="G90" s="11" t="s">
        <v>264</v>
      </c>
    </row>
    <row r="91" spans="1:10">
      <c r="A91" s="23" t="s">
        <v>263</v>
      </c>
      <c r="B91" s="3">
        <v>-3002000</v>
      </c>
      <c r="C91" s="11">
        <v>2</v>
      </c>
      <c r="D91" s="11">
        <f t="shared" si="3"/>
        <v>1189</v>
      </c>
      <c r="E91" s="11">
        <f t="shared" si="4"/>
        <v>0</v>
      </c>
      <c r="F91" s="11">
        <f t="shared" si="5"/>
        <v>-3569378000</v>
      </c>
      <c r="G91" s="11" t="s">
        <v>337</v>
      </c>
    </row>
    <row r="92" spans="1:10">
      <c r="A92" s="23" t="s">
        <v>336</v>
      </c>
      <c r="B92" s="3">
        <v>-205000</v>
      </c>
      <c r="C92" s="11">
        <v>0</v>
      </c>
      <c r="D92" s="11">
        <f t="shared" si="3"/>
        <v>1187</v>
      </c>
      <c r="E92" s="11">
        <f t="shared" si="4"/>
        <v>0</v>
      </c>
      <c r="F92" s="11">
        <f t="shared" si="5"/>
        <v>-243335000</v>
      </c>
      <c r="G92" s="11" t="s">
        <v>338</v>
      </c>
    </row>
    <row r="93" spans="1:10">
      <c r="A93" s="11" t="s">
        <v>334</v>
      </c>
      <c r="B93" s="3">
        <v>-350500</v>
      </c>
      <c r="C93" s="11">
        <v>11</v>
      </c>
      <c r="D93" s="11">
        <f t="shared" si="3"/>
        <v>1187</v>
      </c>
      <c r="E93" s="11">
        <f t="shared" si="4"/>
        <v>0</v>
      </c>
      <c r="F93" s="11">
        <f t="shared" si="5"/>
        <v>-416043500</v>
      </c>
      <c r="G93" s="11" t="s">
        <v>335</v>
      </c>
    </row>
    <row r="94" spans="1:10">
      <c r="A94" s="11" t="s">
        <v>332</v>
      </c>
      <c r="B94" s="3">
        <v>1000000</v>
      </c>
      <c r="C94" s="11">
        <v>5</v>
      </c>
      <c r="D94" s="11">
        <f t="shared" si="3"/>
        <v>1176</v>
      </c>
      <c r="E94" s="11">
        <f t="shared" si="4"/>
        <v>1</v>
      </c>
      <c r="F94" s="11">
        <f t="shared" si="5"/>
        <v>1175000000</v>
      </c>
      <c r="G94" s="11" t="s">
        <v>333</v>
      </c>
    </row>
    <row r="95" spans="1:10">
      <c r="A95" s="11" t="s">
        <v>343</v>
      </c>
      <c r="B95" s="3">
        <v>9000000</v>
      </c>
      <c r="C95" s="11">
        <v>2</v>
      </c>
      <c r="D95" s="11">
        <f t="shared" si="3"/>
        <v>1171</v>
      </c>
      <c r="E95" s="11">
        <f t="shared" si="4"/>
        <v>1</v>
      </c>
      <c r="F95" s="11">
        <f t="shared" si="5"/>
        <v>10530000000</v>
      </c>
      <c r="G95" s="11" t="s">
        <v>345</v>
      </c>
      <c r="J95" s="26"/>
    </row>
    <row r="96" spans="1:10">
      <c r="A96" s="11" t="s">
        <v>346</v>
      </c>
      <c r="B96" s="3">
        <v>-26000000</v>
      </c>
      <c r="C96" s="11">
        <v>0</v>
      </c>
      <c r="D96" s="11">
        <f t="shared" si="3"/>
        <v>1169</v>
      </c>
      <c r="E96" s="11">
        <f t="shared" si="4"/>
        <v>0</v>
      </c>
      <c r="F96" s="11">
        <f t="shared" si="5"/>
        <v>-30394000000</v>
      </c>
      <c r="G96" s="11" t="s">
        <v>347</v>
      </c>
    </row>
    <row r="97" spans="1:9">
      <c r="A97" s="11" t="s">
        <v>346</v>
      </c>
      <c r="B97" s="3">
        <v>-26000000</v>
      </c>
      <c r="C97" s="11">
        <v>0</v>
      </c>
      <c r="D97" s="11">
        <f t="shared" si="3"/>
        <v>1169</v>
      </c>
      <c r="E97" s="11">
        <f t="shared" si="4"/>
        <v>0</v>
      </c>
      <c r="F97" s="11">
        <f t="shared" si="5"/>
        <v>-30394000000</v>
      </c>
      <c r="G97" s="11"/>
    </row>
    <row r="98" spans="1:9">
      <c r="A98" s="11" t="s">
        <v>346</v>
      </c>
      <c r="B98" s="3">
        <v>26000000</v>
      </c>
      <c r="C98" s="11">
        <v>0</v>
      </c>
      <c r="D98" s="11">
        <f t="shared" si="3"/>
        <v>1169</v>
      </c>
      <c r="E98" s="11">
        <f t="shared" si="4"/>
        <v>1</v>
      </c>
      <c r="F98" s="11">
        <f t="shared" si="5"/>
        <v>30368000000</v>
      </c>
      <c r="G98" s="11"/>
    </row>
    <row r="99" spans="1:9">
      <c r="A99" s="11" t="s">
        <v>346</v>
      </c>
      <c r="B99" s="3">
        <v>-200000</v>
      </c>
      <c r="C99" s="11">
        <v>2</v>
      </c>
      <c r="D99" s="11">
        <f t="shared" si="3"/>
        <v>1169</v>
      </c>
      <c r="E99" s="11">
        <f t="shared" si="4"/>
        <v>0</v>
      </c>
      <c r="F99" s="11">
        <f t="shared" si="5"/>
        <v>-233800000</v>
      </c>
      <c r="G99" s="11"/>
      <c r="I99" t="s">
        <v>25</v>
      </c>
    </row>
    <row r="100" spans="1:9">
      <c r="A100" s="11" t="s">
        <v>398</v>
      </c>
      <c r="B100" s="3">
        <v>29200000</v>
      </c>
      <c r="C100" s="11">
        <v>5</v>
      </c>
      <c r="D100" s="11">
        <f t="shared" si="3"/>
        <v>1167</v>
      </c>
      <c r="E100" s="11">
        <f t="shared" si="4"/>
        <v>1</v>
      </c>
      <c r="F100" s="11">
        <f t="shared" si="5"/>
        <v>34047200000</v>
      </c>
      <c r="G100" s="11"/>
    </row>
    <row r="101" spans="1:9">
      <c r="A101" s="11" t="s">
        <v>399</v>
      </c>
      <c r="B101" s="3">
        <v>399945</v>
      </c>
      <c r="C101" s="11">
        <v>1</v>
      </c>
      <c r="D101" s="11">
        <f t="shared" si="3"/>
        <v>1162</v>
      </c>
      <c r="E101" s="11">
        <f t="shared" si="4"/>
        <v>1</v>
      </c>
      <c r="F101" s="11">
        <f t="shared" si="5"/>
        <v>464336145</v>
      </c>
      <c r="G101" s="11" t="s">
        <v>400</v>
      </c>
    </row>
    <row r="102" spans="1:9">
      <c r="A102" s="11" t="s">
        <v>401</v>
      </c>
      <c r="B102" s="3">
        <v>2000000</v>
      </c>
      <c r="C102" s="11">
        <v>1</v>
      </c>
      <c r="D102" s="11">
        <f t="shared" si="3"/>
        <v>1161</v>
      </c>
      <c r="E102" s="11">
        <f t="shared" si="4"/>
        <v>1</v>
      </c>
      <c r="F102" s="11">
        <f t="shared" si="5"/>
        <v>2320000000</v>
      </c>
      <c r="G102" s="11" t="s">
        <v>402</v>
      </c>
    </row>
    <row r="103" spans="1:9">
      <c r="A103" s="11" t="s">
        <v>409</v>
      </c>
      <c r="B103" s="3">
        <v>7500000</v>
      </c>
      <c r="C103" s="11">
        <v>0</v>
      </c>
      <c r="D103" s="11">
        <f t="shared" si="3"/>
        <v>1160</v>
      </c>
      <c r="E103" s="11">
        <f t="shared" si="4"/>
        <v>1</v>
      </c>
      <c r="F103" s="11">
        <f t="shared" si="5"/>
        <v>8692500000</v>
      </c>
      <c r="G103" s="11" t="s">
        <v>410</v>
      </c>
    </row>
    <row r="104" spans="1:9">
      <c r="A104" s="11" t="s">
        <v>409</v>
      </c>
      <c r="B104" s="3">
        <v>-66000000</v>
      </c>
      <c r="C104" s="11">
        <v>0</v>
      </c>
      <c r="D104" s="11">
        <f t="shared" si="3"/>
        <v>1160</v>
      </c>
      <c r="E104" s="11">
        <f t="shared" si="4"/>
        <v>0</v>
      </c>
      <c r="F104" s="11">
        <f t="shared" si="5"/>
        <v>-76560000000</v>
      </c>
      <c r="G104" s="11" t="s">
        <v>424</v>
      </c>
    </row>
    <row r="105" spans="1:9">
      <c r="A105" s="11" t="s">
        <v>409</v>
      </c>
      <c r="B105" s="3">
        <v>-145000</v>
      </c>
      <c r="C105" s="11">
        <v>2</v>
      </c>
      <c r="D105" s="11">
        <f t="shared" si="3"/>
        <v>1160</v>
      </c>
      <c r="E105" s="11">
        <f t="shared" si="4"/>
        <v>0</v>
      </c>
      <c r="F105" s="11">
        <f t="shared" si="5"/>
        <v>-168200000</v>
      </c>
      <c r="G105" s="11" t="s">
        <v>425</v>
      </c>
    </row>
    <row r="106" spans="1:9">
      <c r="A106" s="11" t="s">
        <v>421</v>
      </c>
      <c r="B106" s="3">
        <v>6000000</v>
      </c>
      <c r="C106" s="11">
        <v>2</v>
      </c>
      <c r="D106" s="11">
        <f t="shared" si="3"/>
        <v>1158</v>
      </c>
      <c r="E106" s="11">
        <f t="shared" si="4"/>
        <v>1</v>
      </c>
      <c r="F106" s="11">
        <f t="shared" si="5"/>
        <v>6942000000</v>
      </c>
      <c r="G106" s="11" t="s">
        <v>426</v>
      </c>
    </row>
    <row r="107" spans="1:9">
      <c r="A107" s="11" t="s">
        <v>434</v>
      </c>
      <c r="B107" s="3">
        <v>-6005900</v>
      </c>
      <c r="C107" s="11">
        <v>3</v>
      </c>
      <c r="D107" s="11">
        <f t="shared" si="3"/>
        <v>1156</v>
      </c>
      <c r="E107" s="11">
        <f t="shared" si="4"/>
        <v>0</v>
      </c>
      <c r="F107" s="11">
        <f t="shared" si="5"/>
        <v>-6942820400</v>
      </c>
      <c r="G107" s="11" t="s">
        <v>436</v>
      </c>
    </row>
    <row r="108" spans="1:9">
      <c r="A108" s="11" t="s">
        <v>439</v>
      </c>
      <c r="B108" s="3">
        <v>6000000</v>
      </c>
      <c r="C108" s="11">
        <v>12</v>
      </c>
      <c r="D108" s="11">
        <f t="shared" si="3"/>
        <v>1153</v>
      </c>
      <c r="E108" s="11">
        <f t="shared" si="4"/>
        <v>1</v>
      </c>
      <c r="F108" s="11">
        <f t="shared" si="5"/>
        <v>6912000000</v>
      </c>
      <c r="G108" s="11" t="s">
        <v>444</v>
      </c>
    </row>
    <row r="109" spans="1:9">
      <c r="A109" s="11" t="s">
        <v>458</v>
      </c>
      <c r="B109" s="3">
        <v>-120000</v>
      </c>
      <c r="C109" s="11">
        <v>1</v>
      </c>
      <c r="D109" s="11">
        <f t="shared" si="3"/>
        <v>1141</v>
      </c>
      <c r="E109" s="11">
        <f t="shared" si="4"/>
        <v>0</v>
      </c>
      <c r="F109" s="11">
        <f t="shared" si="5"/>
        <v>-136920000</v>
      </c>
      <c r="G109" s="11" t="s">
        <v>459</v>
      </c>
    </row>
    <row r="110" spans="1:9">
      <c r="A110" s="11" t="s">
        <v>460</v>
      </c>
      <c r="B110" s="3">
        <v>4000000</v>
      </c>
      <c r="C110" s="11">
        <v>1</v>
      </c>
      <c r="D110" s="11">
        <f t="shared" si="3"/>
        <v>1140</v>
      </c>
      <c r="E110" s="11">
        <f t="shared" si="4"/>
        <v>1</v>
      </c>
      <c r="F110" s="11">
        <f t="shared" si="5"/>
        <v>4556000000</v>
      </c>
      <c r="G110" s="11" t="s">
        <v>461</v>
      </c>
    </row>
    <row r="111" spans="1:9">
      <c r="A111" s="11" t="s">
        <v>465</v>
      </c>
      <c r="B111" s="3">
        <v>2800000</v>
      </c>
      <c r="C111" s="11">
        <v>4</v>
      </c>
      <c r="D111" s="11">
        <f t="shared" si="3"/>
        <v>1139</v>
      </c>
      <c r="E111" s="11">
        <f t="shared" si="4"/>
        <v>1</v>
      </c>
      <c r="F111" s="11">
        <f t="shared" si="5"/>
        <v>3186400000</v>
      </c>
      <c r="G111" s="11" t="s">
        <v>466</v>
      </c>
    </row>
    <row r="112" spans="1:9">
      <c r="A112" s="11" t="s">
        <v>470</v>
      </c>
      <c r="B112" s="3">
        <v>-200000</v>
      </c>
      <c r="C112" s="11">
        <v>1</v>
      </c>
      <c r="D112" s="11">
        <f t="shared" si="3"/>
        <v>1135</v>
      </c>
      <c r="E112" s="11">
        <f t="shared" si="4"/>
        <v>0</v>
      </c>
      <c r="F112" s="11">
        <f t="shared" si="5"/>
        <v>-227000000</v>
      </c>
      <c r="G112" s="11" t="s">
        <v>472</v>
      </c>
    </row>
    <row r="113" spans="1:10">
      <c r="A113" s="11" t="s">
        <v>471</v>
      </c>
      <c r="B113" s="3">
        <v>72310</v>
      </c>
      <c r="C113" s="11">
        <v>17</v>
      </c>
      <c r="D113" s="11">
        <f t="shared" si="3"/>
        <v>1134</v>
      </c>
      <c r="E113" s="11">
        <f t="shared" si="4"/>
        <v>1</v>
      </c>
      <c r="F113" s="11">
        <f t="shared" si="5"/>
        <v>81927230</v>
      </c>
      <c r="G113" s="11" t="s">
        <v>498</v>
      </c>
    </row>
    <row r="114" spans="1:10">
      <c r="A114" s="11" t="s">
        <v>494</v>
      </c>
      <c r="B114" s="3">
        <v>-200000</v>
      </c>
      <c r="C114" s="11">
        <v>1</v>
      </c>
      <c r="D114" s="11">
        <f t="shared" si="3"/>
        <v>1117</v>
      </c>
      <c r="E114" s="11">
        <f t="shared" si="4"/>
        <v>0</v>
      </c>
      <c r="F114" s="11">
        <f t="shared" si="5"/>
        <v>-223400000</v>
      </c>
      <c r="G114" s="11" t="s">
        <v>459</v>
      </c>
      <c r="J114" t="s">
        <v>25</v>
      </c>
    </row>
    <row r="115" spans="1:10">
      <c r="A115" s="23" t="s">
        <v>495</v>
      </c>
      <c r="B115" s="35">
        <v>-11000000</v>
      </c>
      <c r="C115" s="23">
        <v>0</v>
      </c>
      <c r="D115" s="11">
        <f t="shared" si="3"/>
        <v>1116</v>
      </c>
      <c r="E115" s="11">
        <f t="shared" si="4"/>
        <v>0</v>
      </c>
      <c r="F115" s="23">
        <f t="shared" si="5"/>
        <v>-12276000000</v>
      </c>
      <c r="G115" s="23" t="s">
        <v>499</v>
      </c>
    </row>
    <row r="116" spans="1:10">
      <c r="A116" s="11" t="s">
        <v>495</v>
      </c>
      <c r="B116" s="3">
        <v>-200000</v>
      </c>
      <c r="C116" s="11">
        <v>2</v>
      </c>
      <c r="D116" s="11">
        <f t="shared" si="3"/>
        <v>1116</v>
      </c>
      <c r="E116" s="11">
        <f t="shared" si="4"/>
        <v>0</v>
      </c>
      <c r="F116" s="11">
        <f t="shared" si="5"/>
        <v>-223200000</v>
      </c>
      <c r="G116" s="11" t="s">
        <v>459</v>
      </c>
      <c r="I116" t="s">
        <v>25</v>
      </c>
    </row>
    <row r="117" spans="1:10">
      <c r="A117" s="11" t="s">
        <v>500</v>
      </c>
      <c r="B117" s="3">
        <v>-450500</v>
      </c>
      <c r="C117" s="11">
        <v>0</v>
      </c>
      <c r="D117" s="11">
        <f t="shared" si="3"/>
        <v>1114</v>
      </c>
      <c r="E117" s="11">
        <f t="shared" si="4"/>
        <v>0</v>
      </c>
      <c r="F117" s="11">
        <f t="shared" si="5"/>
        <v>-501857000</v>
      </c>
      <c r="G117" s="11" t="s">
        <v>501</v>
      </c>
    </row>
    <row r="118" spans="1:10">
      <c r="A118" s="11" t="s">
        <v>500</v>
      </c>
      <c r="B118" s="3">
        <v>-200000</v>
      </c>
      <c r="C118" s="11">
        <v>6</v>
      </c>
      <c r="D118" s="11">
        <f t="shared" si="3"/>
        <v>1114</v>
      </c>
      <c r="E118" s="11">
        <f t="shared" si="4"/>
        <v>0</v>
      </c>
      <c r="F118" s="11">
        <f t="shared" si="5"/>
        <v>-222800000</v>
      </c>
      <c r="G118" s="11" t="s">
        <v>502</v>
      </c>
      <c r="J118" t="s">
        <v>25</v>
      </c>
    </row>
    <row r="119" spans="1:10">
      <c r="A119" s="11" t="s">
        <v>504</v>
      </c>
      <c r="B119" s="3">
        <v>-154550</v>
      </c>
      <c r="C119" s="11">
        <v>0</v>
      </c>
      <c r="D119" s="11">
        <f t="shared" si="3"/>
        <v>1108</v>
      </c>
      <c r="E119" s="11">
        <f t="shared" si="4"/>
        <v>0</v>
      </c>
      <c r="F119" s="11">
        <f t="shared" si="5"/>
        <v>-171241400</v>
      </c>
      <c r="G119" s="11" t="s">
        <v>505</v>
      </c>
    </row>
    <row r="120" spans="1:10">
      <c r="A120" s="11" t="s">
        <v>504</v>
      </c>
      <c r="B120" s="3">
        <v>-320</v>
      </c>
      <c r="C120" s="11">
        <v>1</v>
      </c>
      <c r="D120" s="11">
        <f t="shared" si="3"/>
        <v>1108</v>
      </c>
      <c r="E120" s="11">
        <f t="shared" si="4"/>
        <v>0</v>
      </c>
      <c r="F120" s="11">
        <f t="shared" si="5"/>
        <v>-354560</v>
      </c>
      <c r="G120" s="11" t="s">
        <v>506</v>
      </c>
    </row>
    <row r="121" spans="1:10">
      <c r="A121" s="11" t="s">
        <v>507</v>
      </c>
      <c r="B121" s="3">
        <v>-432000</v>
      </c>
      <c r="C121" s="11">
        <v>6</v>
      </c>
      <c r="D121" s="11">
        <f t="shared" si="3"/>
        <v>1107</v>
      </c>
      <c r="E121" s="11">
        <f t="shared" si="4"/>
        <v>0</v>
      </c>
      <c r="F121" s="11">
        <f t="shared" si="5"/>
        <v>-478224000</v>
      </c>
      <c r="G121" s="11" t="s">
        <v>508</v>
      </c>
    </row>
    <row r="122" spans="1:10">
      <c r="A122" s="11" t="s">
        <v>509</v>
      </c>
      <c r="B122" s="3">
        <v>74043</v>
      </c>
      <c r="C122" s="11">
        <v>21</v>
      </c>
      <c r="D122" s="11">
        <f t="shared" si="3"/>
        <v>1101</v>
      </c>
      <c r="E122" s="11">
        <f t="shared" si="4"/>
        <v>1</v>
      </c>
      <c r="F122" s="11">
        <f t="shared" si="5"/>
        <v>81447300</v>
      </c>
      <c r="G122" s="11" t="s">
        <v>510</v>
      </c>
    </row>
    <row r="123" spans="1:10">
      <c r="A123" s="11" t="s">
        <v>532</v>
      </c>
      <c r="B123" s="3">
        <v>-52000</v>
      </c>
      <c r="C123" s="11">
        <v>41</v>
      </c>
      <c r="D123" s="11">
        <f t="shared" si="3"/>
        <v>1080</v>
      </c>
      <c r="E123" s="11">
        <f t="shared" si="4"/>
        <v>0</v>
      </c>
      <c r="F123" s="11">
        <f t="shared" si="5"/>
        <v>-56160000</v>
      </c>
      <c r="G123" s="11" t="s">
        <v>534</v>
      </c>
    </row>
    <row r="124" spans="1:10">
      <c r="A124" s="11" t="s">
        <v>584</v>
      </c>
      <c r="B124" s="3">
        <v>1187</v>
      </c>
      <c r="C124" s="11">
        <v>1</v>
      </c>
      <c r="D124" s="11">
        <f t="shared" si="3"/>
        <v>1039</v>
      </c>
      <c r="E124" s="11">
        <f t="shared" si="4"/>
        <v>1</v>
      </c>
      <c r="F124" s="11">
        <f t="shared" si="5"/>
        <v>1232106</v>
      </c>
      <c r="G124" s="11" t="s">
        <v>585</v>
      </c>
    </row>
    <row r="125" spans="1:10">
      <c r="A125" s="11" t="s">
        <v>582</v>
      </c>
      <c r="B125" s="3">
        <v>2400000</v>
      </c>
      <c r="C125" s="11">
        <v>2</v>
      </c>
      <c r="D125" s="11">
        <f t="shared" si="3"/>
        <v>1038</v>
      </c>
      <c r="E125" s="11">
        <f t="shared" si="4"/>
        <v>1</v>
      </c>
      <c r="F125" s="11">
        <f t="shared" si="5"/>
        <v>2488800000</v>
      </c>
      <c r="G125" s="11" t="s">
        <v>583</v>
      </c>
    </row>
    <row r="126" spans="1:10">
      <c r="A126" s="11" t="s">
        <v>591</v>
      </c>
      <c r="B126" s="3">
        <v>1342800</v>
      </c>
      <c r="C126" s="11">
        <v>0</v>
      </c>
      <c r="D126" s="11">
        <f t="shared" si="3"/>
        <v>1036</v>
      </c>
      <c r="E126" s="11">
        <f t="shared" si="4"/>
        <v>1</v>
      </c>
      <c r="F126" s="11">
        <f t="shared" si="5"/>
        <v>1389798000</v>
      </c>
      <c r="G126" s="11" t="s">
        <v>592</v>
      </c>
    </row>
    <row r="127" spans="1:10">
      <c r="A127" s="11" t="s">
        <v>591</v>
      </c>
      <c r="B127" s="3">
        <v>1342800</v>
      </c>
      <c r="C127" s="11">
        <v>12</v>
      </c>
      <c r="D127" s="11">
        <f t="shared" si="3"/>
        <v>1036</v>
      </c>
      <c r="E127" s="11">
        <f t="shared" si="4"/>
        <v>1</v>
      </c>
      <c r="F127" s="11">
        <f t="shared" si="5"/>
        <v>1389798000</v>
      </c>
      <c r="G127" s="11" t="s">
        <v>593</v>
      </c>
    </row>
    <row r="128" spans="1:10">
      <c r="A128" s="11" t="s">
        <v>600</v>
      </c>
      <c r="B128" s="3">
        <v>-200000</v>
      </c>
      <c r="C128" s="11">
        <v>2</v>
      </c>
      <c r="D128" s="11">
        <f t="shared" si="3"/>
        <v>1024</v>
      </c>
      <c r="E128" s="11">
        <f t="shared" si="4"/>
        <v>0</v>
      </c>
      <c r="F128" s="11">
        <f t="shared" si="5"/>
        <v>-204800000</v>
      </c>
      <c r="G128" s="11" t="s">
        <v>158</v>
      </c>
    </row>
    <row r="129" spans="1:11">
      <c r="A129" s="11" t="s">
        <v>601</v>
      </c>
      <c r="B129" s="3">
        <v>-15618</v>
      </c>
      <c r="C129" s="11">
        <v>1</v>
      </c>
      <c r="D129" s="11">
        <f t="shared" si="3"/>
        <v>1022</v>
      </c>
      <c r="E129" s="11">
        <f t="shared" si="4"/>
        <v>0</v>
      </c>
      <c r="F129" s="11">
        <f>B129*(D129-E129)</f>
        <v>-15961596</v>
      </c>
      <c r="G129" s="11" t="s">
        <v>602</v>
      </c>
      <c r="K129" t="s">
        <v>25</v>
      </c>
    </row>
    <row r="130" spans="1:11">
      <c r="A130" s="11" t="s">
        <v>603</v>
      </c>
      <c r="B130" s="3">
        <v>-200000</v>
      </c>
      <c r="C130" s="11">
        <v>1</v>
      </c>
      <c r="D130" s="11">
        <f t="shared" ref="D130:D185" si="6">D131+C130</f>
        <v>1021</v>
      </c>
      <c r="E130" s="11">
        <f t="shared" si="4"/>
        <v>0</v>
      </c>
      <c r="F130" s="11">
        <f t="shared" si="5"/>
        <v>-204200000</v>
      </c>
      <c r="G130" s="11" t="s">
        <v>502</v>
      </c>
    </row>
    <row r="131" spans="1:11">
      <c r="A131" s="11" t="s">
        <v>605</v>
      </c>
      <c r="B131" s="3">
        <v>-200000</v>
      </c>
      <c r="C131" s="11">
        <v>1</v>
      </c>
      <c r="D131" s="11">
        <f t="shared" si="6"/>
        <v>1020</v>
      </c>
      <c r="E131" s="11">
        <f t="shared" ref="E131:E248" si="7">IF(B131&gt;0,1,0)</f>
        <v>0</v>
      </c>
      <c r="F131" s="11">
        <f t="shared" si="5"/>
        <v>-204000000</v>
      </c>
      <c r="G131" s="11" t="s">
        <v>606</v>
      </c>
    </row>
    <row r="132" spans="1:11">
      <c r="A132" s="11" t="s">
        <v>607</v>
      </c>
      <c r="B132" s="3">
        <v>-390000</v>
      </c>
      <c r="C132" s="11">
        <v>0</v>
      </c>
      <c r="D132" s="11">
        <f t="shared" si="6"/>
        <v>1019</v>
      </c>
      <c r="E132" s="11">
        <f t="shared" si="7"/>
        <v>0</v>
      </c>
      <c r="F132" s="11">
        <f t="shared" si="5"/>
        <v>-397410000</v>
      </c>
      <c r="G132" s="11" t="s">
        <v>608</v>
      </c>
    </row>
    <row r="133" spans="1:11">
      <c r="A133" s="11" t="s">
        <v>607</v>
      </c>
      <c r="B133" s="3">
        <v>-24500</v>
      </c>
      <c r="C133" s="11">
        <v>1</v>
      </c>
      <c r="D133" s="11">
        <f t="shared" si="6"/>
        <v>1019</v>
      </c>
      <c r="E133" s="11">
        <f t="shared" si="7"/>
        <v>0</v>
      </c>
      <c r="F133" s="11">
        <f t="shared" si="5"/>
        <v>-24965500</v>
      </c>
      <c r="G133" s="11" t="s">
        <v>609</v>
      </c>
    </row>
    <row r="134" spans="1:11">
      <c r="A134" s="11" t="s">
        <v>610</v>
      </c>
      <c r="B134" s="3">
        <v>-95000</v>
      </c>
      <c r="C134" s="11">
        <v>4</v>
      </c>
      <c r="D134" s="11">
        <f t="shared" si="6"/>
        <v>1018</v>
      </c>
      <c r="E134" s="11">
        <f t="shared" si="7"/>
        <v>0</v>
      </c>
      <c r="F134" s="11">
        <f t="shared" si="5"/>
        <v>-96710000</v>
      </c>
      <c r="G134" s="11" t="s">
        <v>459</v>
      </c>
    </row>
    <row r="135" spans="1:11">
      <c r="A135" s="11" t="s">
        <v>612</v>
      </c>
      <c r="B135" s="3">
        <v>-200000</v>
      </c>
      <c r="C135" s="11">
        <v>2</v>
      </c>
      <c r="D135" s="11">
        <f t="shared" si="6"/>
        <v>1014</v>
      </c>
      <c r="E135" s="11">
        <f t="shared" si="7"/>
        <v>0</v>
      </c>
      <c r="F135" s="11">
        <f t="shared" si="5"/>
        <v>-202800000</v>
      </c>
      <c r="G135" s="11" t="s">
        <v>613</v>
      </c>
    </row>
    <row r="136" spans="1:11">
      <c r="A136" s="11" t="s">
        <v>615</v>
      </c>
      <c r="B136" s="3">
        <v>50000000</v>
      </c>
      <c r="C136" s="11">
        <v>1</v>
      </c>
      <c r="D136" s="11">
        <f t="shared" si="6"/>
        <v>1012</v>
      </c>
      <c r="E136" s="11">
        <f t="shared" si="7"/>
        <v>1</v>
      </c>
      <c r="F136" s="11">
        <f t="shared" si="5"/>
        <v>50550000000</v>
      </c>
      <c r="G136" s="11" t="s">
        <v>616</v>
      </c>
    </row>
    <row r="137" spans="1:11">
      <c r="A137" s="11" t="s">
        <v>621</v>
      </c>
      <c r="B137" s="3">
        <v>12000000</v>
      </c>
      <c r="C137" s="11">
        <v>2</v>
      </c>
      <c r="D137" s="11">
        <f t="shared" si="6"/>
        <v>1011</v>
      </c>
      <c r="E137" s="11">
        <f t="shared" si="7"/>
        <v>1</v>
      </c>
      <c r="F137" s="11">
        <f t="shared" si="5"/>
        <v>12120000000</v>
      </c>
      <c r="G137" s="11" t="s">
        <v>616</v>
      </c>
    </row>
    <row r="138" spans="1:11">
      <c r="A138" s="11" t="s">
        <v>623</v>
      </c>
      <c r="B138" s="3">
        <v>2000000</v>
      </c>
      <c r="C138" s="11">
        <v>1</v>
      </c>
      <c r="D138" s="11">
        <f t="shared" si="6"/>
        <v>1009</v>
      </c>
      <c r="E138" s="11">
        <f t="shared" si="7"/>
        <v>1</v>
      </c>
      <c r="F138" s="11">
        <f t="shared" si="5"/>
        <v>2016000000</v>
      </c>
      <c r="G138" s="11" t="s">
        <v>625</v>
      </c>
    </row>
    <row r="139" spans="1:11">
      <c r="A139" s="11" t="s">
        <v>627</v>
      </c>
      <c r="B139" s="3">
        <v>87538</v>
      </c>
      <c r="C139" s="11">
        <v>13</v>
      </c>
      <c r="D139" s="11">
        <f t="shared" si="6"/>
        <v>1008</v>
      </c>
      <c r="E139" s="11">
        <f t="shared" si="7"/>
        <v>1</v>
      </c>
      <c r="F139" s="11">
        <f t="shared" si="5"/>
        <v>88150766</v>
      </c>
      <c r="G139" s="11" t="s">
        <v>375</v>
      </c>
    </row>
    <row r="140" spans="1:11">
      <c r="A140" s="11" t="s">
        <v>648</v>
      </c>
      <c r="B140" s="3">
        <v>-3000900</v>
      </c>
      <c r="C140" s="11">
        <v>1</v>
      </c>
      <c r="D140" s="11">
        <f t="shared" si="6"/>
        <v>995</v>
      </c>
      <c r="E140" s="11">
        <f t="shared" si="7"/>
        <v>0</v>
      </c>
      <c r="F140" s="11">
        <f t="shared" si="5"/>
        <v>-2985895500</v>
      </c>
      <c r="G140" s="11" t="s">
        <v>649</v>
      </c>
    </row>
    <row r="141" spans="1:11">
      <c r="A141" s="11" t="s">
        <v>665</v>
      </c>
      <c r="B141" s="3">
        <v>-3000900</v>
      </c>
      <c r="C141" s="11">
        <v>17</v>
      </c>
      <c r="D141" s="11">
        <f t="shared" si="6"/>
        <v>994</v>
      </c>
      <c r="E141" s="11">
        <f t="shared" si="7"/>
        <v>0</v>
      </c>
      <c r="F141" s="11">
        <f t="shared" si="5"/>
        <v>-2982894600</v>
      </c>
      <c r="G141" s="11" t="s">
        <v>649</v>
      </c>
      <c r="K141" t="s">
        <v>25</v>
      </c>
    </row>
    <row r="142" spans="1:11">
      <c r="A142" s="11" t="s">
        <v>630</v>
      </c>
      <c r="B142" s="3">
        <v>602025</v>
      </c>
      <c r="C142" s="11">
        <v>0</v>
      </c>
      <c r="D142" s="11">
        <f t="shared" si="6"/>
        <v>977</v>
      </c>
      <c r="E142" s="11">
        <f t="shared" si="7"/>
        <v>1</v>
      </c>
      <c r="F142" s="11">
        <f t="shared" si="5"/>
        <v>587576400</v>
      </c>
      <c r="G142" s="11" t="s">
        <v>667</v>
      </c>
    </row>
    <row r="143" spans="1:11">
      <c r="A143" s="11" t="s">
        <v>630</v>
      </c>
      <c r="B143" s="3">
        <v>-46000000</v>
      </c>
      <c r="C143" s="11">
        <v>31</v>
      </c>
      <c r="D143" s="11">
        <f t="shared" si="6"/>
        <v>977</v>
      </c>
      <c r="E143" s="11">
        <f t="shared" si="7"/>
        <v>0</v>
      </c>
      <c r="F143" s="11">
        <f t="shared" si="5"/>
        <v>-44942000000</v>
      </c>
      <c r="G143" s="11" t="s">
        <v>670</v>
      </c>
    </row>
    <row r="144" spans="1:11">
      <c r="A144" s="11" t="s">
        <v>631</v>
      </c>
      <c r="B144" s="3">
        <v>154107</v>
      </c>
      <c r="C144" s="11">
        <v>1</v>
      </c>
      <c r="D144" s="11">
        <f t="shared" si="6"/>
        <v>946</v>
      </c>
      <c r="E144" s="11">
        <f t="shared" si="7"/>
        <v>1</v>
      </c>
      <c r="F144" s="11">
        <f t="shared" si="5"/>
        <v>145631115</v>
      </c>
      <c r="G144" s="11" t="s">
        <v>693</v>
      </c>
    </row>
    <row r="145" spans="1:11">
      <c r="A145" s="11" t="s">
        <v>699</v>
      </c>
      <c r="B145" s="3">
        <v>3000000</v>
      </c>
      <c r="C145" s="11">
        <v>3</v>
      </c>
      <c r="D145" s="11">
        <f t="shared" si="6"/>
        <v>945</v>
      </c>
      <c r="E145" s="11">
        <f t="shared" si="7"/>
        <v>1</v>
      </c>
      <c r="F145" s="11">
        <f t="shared" si="5"/>
        <v>2832000000</v>
      </c>
      <c r="G145" s="11" t="s">
        <v>700</v>
      </c>
    </row>
    <row r="146" spans="1:11">
      <c r="A146" s="11" t="s">
        <v>701</v>
      </c>
      <c r="B146" s="3">
        <v>-200000</v>
      </c>
      <c r="C146" s="11">
        <v>5</v>
      </c>
      <c r="D146" s="11">
        <f t="shared" si="6"/>
        <v>942</v>
      </c>
      <c r="E146" s="11">
        <f t="shared" si="7"/>
        <v>0</v>
      </c>
      <c r="F146" s="11">
        <f t="shared" si="5"/>
        <v>-188400000</v>
      </c>
      <c r="G146" s="11" t="s">
        <v>158</v>
      </c>
    </row>
    <row r="147" spans="1:11">
      <c r="A147" s="11" t="s">
        <v>702</v>
      </c>
      <c r="B147" s="3">
        <v>-200000</v>
      </c>
      <c r="C147" s="11">
        <v>1</v>
      </c>
      <c r="D147" s="11">
        <f t="shared" si="6"/>
        <v>937</v>
      </c>
      <c r="E147" s="11">
        <f t="shared" si="7"/>
        <v>0</v>
      </c>
      <c r="F147" s="11">
        <f t="shared" si="5"/>
        <v>-187400000</v>
      </c>
      <c r="G147" s="11" t="s">
        <v>158</v>
      </c>
      <c r="K147" t="s">
        <v>25</v>
      </c>
    </row>
    <row r="148" spans="1:11">
      <c r="A148" s="11" t="s">
        <v>703</v>
      </c>
      <c r="B148" s="3">
        <v>-200000</v>
      </c>
      <c r="C148" s="11">
        <v>4</v>
      </c>
      <c r="D148" s="11">
        <f t="shared" si="6"/>
        <v>936</v>
      </c>
      <c r="E148" s="11">
        <f t="shared" si="7"/>
        <v>0</v>
      </c>
      <c r="F148" s="11">
        <f t="shared" si="5"/>
        <v>-187200000</v>
      </c>
      <c r="G148" s="11" t="s">
        <v>158</v>
      </c>
    </row>
    <row r="149" spans="1:11">
      <c r="A149" s="11" t="s">
        <v>634</v>
      </c>
      <c r="B149" s="3">
        <v>-200000</v>
      </c>
      <c r="C149" s="11">
        <v>1</v>
      </c>
      <c r="D149" s="11">
        <f t="shared" si="6"/>
        <v>932</v>
      </c>
      <c r="E149" s="11">
        <f t="shared" si="7"/>
        <v>0</v>
      </c>
      <c r="F149" s="11">
        <f t="shared" si="5"/>
        <v>-186400000</v>
      </c>
      <c r="G149" s="11" t="s">
        <v>158</v>
      </c>
    </row>
    <row r="150" spans="1:11">
      <c r="A150" s="11" t="s">
        <v>709</v>
      </c>
      <c r="B150" s="3">
        <v>24073400</v>
      </c>
      <c r="C150" s="11">
        <v>2</v>
      </c>
      <c r="D150" s="11">
        <f t="shared" si="6"/>
        <v>931</v>
      </c>
      <c r="E150" s="11">
        <f t="shared" si="7"/>
        <v>1</v>
      </c>
      <c r="F150" s="11">
        <f t="shared" si="5"/>
        <v>22388262000</v>
      </c>
      <c r="G150" s="11" t="s">
        <v>710</v>
      </c>
    </row>
    <row r="151" spans="1:11">
      <c r="A151" s="11" t="s">
        <v>718</v>
      </c>
      <c r="B151" s="3">
        <v>-200000</v>
      </c>
      <c r="C151" s="11">
        <v>6</v>
      </c>
      <c r="D151" s="11">
        <f t="shared" si="6"/>
        <v>929</v>
      </c>
      <c r="E151" s="11">
        <f t="shared" si="7"/>
        <v>0</v>
      </c>
      <c r="F151" s="11">
        <f t="shared" si="5"/>
        <v>-185800000</v>
      </c>
      <c r="G151" s="11" t="s">
        <v>158</v>
      </c>
    </row>
    <row r="152" spans="1:11">
      <c r="A152" s="11" t="s">
        <v>719</v>
      </c>
      <c r="B152" s="3">
        <v>-30000000</v>
      </c>
      <c r="C152" s="11">
        <v>1</v>
      </c>
      <c r="D152" s="11">
        <f t="shared" si="6"/>
        <v>923</v>
      </c>
      <c r="E152" s="11">
        <f t="shared" si="7"/>
        <v>0</v>
      </c>
      <c r="F152" s="11">
        <f t="shared" si="5"/>
        <v>-27690000000</v>
      </c>
      <c r="G152" s="11" t="s">
        <v>720</v>
      </c>
    </row>
    <row r="153" spans="1:11">
      <c r="A153" s="11" t="s">
        <v>727</v>
      </c>
      <c r="B153" s="3">
        <v>-52000</v>
      </c>
      <c r="C153" s="11">
        <v>0</v>
      </c>
      <c r="D153" s="11">
        <f t="shared" si="6"/>
        <v>922</v>
      </c>
      <c r="E153" s="11">
        <f t="shared" si="7"/>
        <v>0</v>
      </c>
      <c r="F153" s="11">
        <f t="shared" si="5"/>
        <v>-47944000</v>
      </c>
      <c r="G153" s="11" t="s">
        <v>728</v>
      </c>
    </row>
    <row r="154" spans="1:11">
      <c r="A154" s="11" t="s">
        <v>727</v>
      </c>
      <c r="B154" s="3">
        <v>-136000</v>
      </c>
      <c r="C154" s="11">
        <v>5</v>
      </c>
      <c r="D154" s="11">
        <f t="shared" si="6"/>
        <v>922</v>
      </c>
      <c r="E154" s="11">
        <f t="shared" si="7"/>
        <v>0</v>
      </c>
      <c r="F154" s="11">
        <f t="shared" si="5"/>
        <v>-125392000</v>
      </c>
      <c r="G154" s="11" t="s">
        <v>729</v>
      </c>
    </row>
    <row r="155" spans="1:11">
      <c r="A155" s="11" t="s">
        <v>731</v>
      </c>
      <c r="B155" s="3">
        <v>3000000</v>
      </c>
      <c r="C155" s="11">
        <v>1</v>
      </c>
      <c r="D155" s="11">
        <f t="shared" si="6"/>
        <v>917</v>
      </c>
      <c r="E155" s="11">
        <f t="shared" si="7"/>
        <v>1</v>
      </c>
      <c r="F155" s="11">
        <f t="shared" si="5"/>
        <v>2748000000</v>
      </c>
      <c r="G155" s="11" t="s">
        <v>732</v>
      </c>
    </row>
    <row r="156" spans="1:11">
      <c r="A156" s="11" t="s">
        <v>632</v>
      </c>
      <c r="B156" s="3">
        <v>189103</v>
      </c>
      <c r="C156" s="11">
        <v>0</v>
      </c>
      <c r="D156" s="11">
        <f t="shared" si="6"/>
        <v>916</v>
      </c>
      <c r="E156" s="11">
        <f t="shared" si="7"/>
        <v>1</v>
      </c>
      <c r="F156" s="11">
        <f t="shared" si="5"/>
        <v>173029245</v>
      </c>
      <c r="G156" s="11" t="s">
        <v>733</v>
      </c>
    </row>
    <row r="157" spans="1:11">
      <c r="A157" s="11" t="s">
        <v>632</v>
      </c>
      <c r="B157" s="3">
        <v>24227700</v>
      </c>
      <c r="C157" s="11">
        <v>8</v>
      </c>
      <c r="D157" s="11">
        <f t="shared" si="6"/>
        <v>916</v>
      </c>
      <c r="E157" s="11">
        <f t="shared" si="7"/>
        <v>1</v>
      </c>
      <c r="F157" s="11">
        <f t="shared" si="5"/>
        <v>22168345500</v>
      </c>
      <c r="G157" s="11" t="s">
        <v>734</v>
      </c>
    </row>
    <row r="158" spans="1:11">
      <c r="A158" s="11" t="s">
        <v>752</v>
      </c>
      <c r="B158" s="3">
        <v>24295200</v>
      </c>
      <c r="C158" s="11">
        <v>0</v>
      </c>
      <c r="D158" s="11">
        <f t="shared" si="6"/>
        <v>908</v>
      </c>
      <c r="E158" s="11">
        <f t="shared" si="7"/>
        <v>1</v>
      </c>
      <c r="F158" s="11">
        <f t="shared" si="5"/>
        <v>22035746400</v>
      </c>
      <c r="G158" s="11" t="s">
        <v>748</v>
      </c>
    </row>
    <row r="159" spans="1:11">
      <c r="A159" s="11" t="s">
        <v>752</v>
      </c>
      <c r="B159" s="3">
        <v>-201000</v>
      </c>
      <c r="C159" s="11">
        <v>5</v>
      </c>
      <c r="D159" s="11">
        <f t="shared" si="6"/>
        <v>908</v>
      </c>
      <c r="E159" s="11">
        <f t="shared" si="7"/>
        <v>0</v>
      </c>
      <c r="F159" s="11">
        <f t="shared" si="5"/>
        <v>-182508000</v>
      </c>
      <c r="G159" s="11" t="s">
        <v>755</v>
      </c>
    </row>
    <row r="160" spans="1:11">
      <c r="A160" s="11" t="s">
        <v>756</v>
      </c>
      <c r="B160" s="3">
        <v>-200000</v>
      </c>
      <c r="C160" s="11">
        <v>3</v>
      </c>
      <c r="D160" s="11">
        <f t="shared" si="6"/>
        <v>903</v>
      </c>
      <c r="E160" s="11">
        <f t="shared" si="7"/>
        <v>0</v>
      </c>
      <c r="F160" s="11">
        <f t="shared" si="5"/>
        <v>-180600000</v>
      </c>
      <c r="G160" s="11" t="s">
        <v>757</v>
      </c>
    </row>
    <row r="161" spans="1:7">
      <c r="A161" s="11" t="s">
        <v>763</v>
      </c>
      <c r="B161" s="3">
        <v>-200000</v>
      </c>
      <c r="C161" s="11">
        <v>4</v>
      </c>
      <c r="D161" s="11">
        <f t="shared" si="6"/>
        <v>900</v>
      </c>
      <c r="E161" s="11">
        <f t="shared" si="7"/>
        <v>0</v>
      </c>
      <c r="F161" s="11">
        <f t="shared" si="5"/>
        <v>-180000000</v>
      </c>
      <c r="G161" s="11" t="s">
        <v>757</v>
      </c>
    </row>
    <row r="162" spans="1:7">
      <c r="A162" s="11" t="s">
        <v>765</v>
      </c>
      <c r="B162" s="3">
        <v>-200000</v>
      </c>
      <c r="C162" s="11">
        <v>3</v>
      </c>
      <c r="D162" s="11">
        <f t="shared" si="6"/>
        <v>896</v>
      </c>
      <c r="E162" s="11">
        <f t="shared" si="7"/>
        <v>0</v>
      </c>
      <c r="F162" s="11">
        <f t="shared" si="5"/>
        <v>-179200000</v>
      </c>
      <c r="G162" s="11" t="s">
        <v>757</v>
      </c>
    </row>
    <row r="163" spans="1:7">
      <c r="A163" s="11" t="s">
        <v>766</v>
      </c>
      <c r="B163" s="3">
        <v>-200000</v>
      </c>
      <c r="C163" s="11">
        <v>7</v>
      </c>
      <c r="D163" s="11">
        <f t="shared" si="6"/>
        <v>893</v>
      </c>
      <c r="E163" s="11">
        <f t="shared" si="7"/>
        <v>0</v>
      </c>
      <c r="F163" s="11">
        <f t="shared" si="5"/>
        <v>-178600000</v>
      </c>
      <c r="G163" s="11" t="s">
        <v>757</v>
      </c>
    </row>
    <row r="164" spans="1:7">
      <c r="A164" s="11" t="s">
        <v>633</v>
      </c>
      <c r="B164" s="3">
        <v>457674</v>
      </c>
      <c r="C164" s="11">
        <v>3</v>
      </c>
      <c r="D164" s="11">
        <f t="shared" si="6"/>
        <v>886</v>
      </c>
      <c r="E164" s="11">
        <f t="shared" si="7"/>
        <v>1</v>
      </c>
      <c r="F164" s="11">
        <f t="shared" si="5"/>
        <v>405041490</v>
      </c>
      <c r="G164" s="11" t="s">
        <v>770</v>
      </c>
    </row>
    <row r="165" spans="1:7">
      <c r="A165" s="11" t="s">
        <v>775</v>
      </c>
      <c r="B165" s="3">
        <v>2700000</v>
      </c>
      <c r="C165" s="11">
        <v>0</v>
      </c>
      <c r="D165" s="11">
        <f t="shared" si="6"/>
        <v>883</v>
      </c>
      <c r="E165" s="11">
        <f t="shared" si="7"/>
        <v>1</v>
      </c>
      <c r="F165" s="11">
        <f t="shared" si="5"/>
        <v>2381400000</v>
      </c>
      <c r="G165" s="11" t="s">
        <v>776</v>
      </c>
    </row>
    <row r="166" spans="1:7">
      <c r="A166" s="11" t="s">
        <v>775</v>
      </c>
      <c r="B166" s="3">
        <v>2500000</v>
      </c>
      <c r="C166" s="11">
        <v>7</v>
      </c>
      <c r="D166" s="11">
        <f t="shared" si="6"/>
        <v>883</v>
      </c>
      <c r="E166" s="11">
        <f t="shared" si="7"/>
        <v>1</v>
      </c>
      <c r="F166" s="11">
        <f t="shared" si="5"/>
        <v>2205000000</v>
      </c>
      <c r="G166" s="11" t="s">
        <v>777</v>
      </c>
    </row>
    <row r="167" spans="1:7">
      <c r="A167" s="11" t="s">
        <v>789</v>
      </c>
      <c r="B167" s="3">
        <v>-200000</v>
      </c>
      <c r="C167" s="11">
        <v>2</v>
      </c>
      <c r="D167" s="11">
        <f t="shared" si="6"/>
        <v>876</v>
      </c>
      <c r="E167" s="11">
        <f t="shared" si="7"/>
        <v>0</v>
      </c>
      <c r="F167" s="11">
        <f t="shared" si="5"/>
        <v>-175200000</v>
      </c>
      <c r="G167" s="11" t="s">
        <v>502</v>
      </c>
    </row>
    <row r="168" spans="1:7">
      <c r="A168" s="11" t="s">
        <v>791</v>
      </c>
      <c r="B168" s="3">
        <v>-200000</v>
      </c>
      <c r="C168" s="11">
        <v>6</v>
      </c>
      <c r="D168" s="11">
        <f t="shared" si="6"/>
        <v>874</v>
      </c>
      <c r="E168" s="11">
        <f t="shared" si="7"/>
        <v>0</v>
      </c>
      <c r="F168" s="11">
        <f t="shared" si="5"/>
        <v>-174800000</v>
      </c>
      <c r="G168" s="11" t="s">
        <v>502</v>
      </c>
    </row>
    <row r="169" spans="1:7">
      <c r="A169" s="11" t="s">
        <v>793</v>
      </c>
      <c r="B169" s="3">
        <v>-200000</v>
      </c>
      <c r="C169" s="11">
        <v>3</v>
      </c>
      <c r="D169" s="11">
        <f t="shared" si="6"/>
        <v>868</v>
      </c>
      <c r="E169" s="11">
        <f t="shared" si="7"/>
        <v>0</v>
      </c>
      <c r="F169" s="11">
        <f t="shared" si="5"/>
        <v>-173600000</v>
      </c>
      <c r="G169" s="11" t="s">
        <v>502</v>
      </c>
    </row>
    <row r="170" spans="1:7">
      <c r="A170" s="11" t="s">
        <v>798</v>
      </c>
      <c r="B170" s="3">
        <v>-200000</v>
      </c>
      <c r="C170" s="11">
        <v>0</v>
      </c>
      <c r="D170" s="11">
        <f t="shared" si="6"/>
        <v>865</v>
      </c>
      <c r="E170" s="11">
        <f t="shared" si="7"/>
        <v>0</v>
      </c>
      <c r="F170" s="11">
        <f t="shared" si="5"/>
        <v>-173000000</v>
      </c>
      <c r="G170" s="11" t="s">
        <v>502</v>
      </c>
    </row>
    <row r="171" spans="1:7">
      <c r="A171" s="11" t="s">
        <v>798</v>
      </c>
      <c r="B171" s="3">
        <v>3000000</v>
      </c>
      <c r="C171" s="11">
        <v>3</v>
      </c>
      <c r="D171" s="11">
        <f t="shared" si="6"/>
        <v>865</v>
      </c>
      <c r="E171" s="11">
        <f t="shared" si="7"/>
        <v>1</v>
      </c>
      <c r="F171" s="11">
        <f t="shared" si="5"/>
        <v>2592000000</v>
      </c>
      <c r="G171" s="11" t="s">
        <v>799</v>
      </c>
    </row>
    <row r="172" spans="1:7">
      <c r="A172" s="11" t="s">
        <v>800</v>
      </c>
      <c r="B172" s="3">
        <v>-200000</v>
      </c>
      <c r="C172" s="11">
        <v>1</v>
      </c>
      <c r="D172" s="11">
        <f t="shared" si="6"/>
        <v>862</v>
      </c>
      <c r="E172" s="11">
        <f t="shared" si="7"/>
        <v>0</v>
      </c>
      <c r="F172" s="11">
        <f t="shared" si="5"/>
        <v>-172400000</v>
      </c>
      <c r="G172" s="11" t="s">
        <v>158</v>
      </c>
    </row>
    <row r="173" spans="1:7">
      <c r="A173" s="11" t="s">
        <v>800</v>
      </c>
      <c r="B173" s="3">
        <v>3000000</v>
      </c>
      <c r="C173" s="11">
        <v>1</v>
      </c>
      <c r="D173" s="11">
        <f t="shared" si="6"/>
        <v>861</v>
      </c>
      <c r="E173" s="11">
        <f t="shared" si="7"/>
        <v>1</v>
      </c>
      <c r="F173" s="11">
        <f t="shared" si="5"/>
        <v>2580000000</v>
      </c>
      <c r="G173" s="11" t="s">
        <v>802</v>
      </c>
    </row>
    <row r="174" spans="1:7">
      <c r="A174" s="11" t="s">
        <v>801</v>
      </c>
      <c r="B174" s="3">
        <v>2000000</v>
      </c>
      <c r="C174" s="11">
        <v>1</v>
      </c>
      <c r="D174" s="11">
        <f t="shared" si="6"/>
        <v>860</v>
      </c>
      <c r="E174" s="11">
        <f t="shared" si="7"/>
        <v>1</v>
      </c>
      <c r="F174" s="11">
        <f t="shared" si="5"/>
        <v>1718000000</v>
      </c>
      <c r="G174" s="11" t="s">
        <v>803</v>
      </c>
    </row>
    <row r="175" spans="1:7">
      <c r="A175" s="11" t="s">
        <v>801</v>
      </c>
      <c r="B175" s="3">
        <v>1300000</v>
      </c>
      <c r="C175" s="11">
        <v>2</v>
      </c>
      <c r="D175" s="11">
        <f t="shared" si="6"/>
        <v>859</v>
      </c>
      <c r="E175" s="11">
        <f t="shared" si="7"/>
        <v>1</v>
      </c>
      <c r="F175" s="11">
        <f t="shared" si="5"/>
        <v>1115400000</v>
      </c>
      <c r="G175" s="11" t="s">
        <v>804</v>
      </c>
    </row>
    <row r="176" spans="1:7">
      <c r="A176" s="11" t="s">
        <v>805</v>
      </c>
      <c r="B176" s="3">
        <v>-200000</v>
      </c>
      <c r="C176" s="11">
        <v>0</v>
      </c>
      <c r="D176" s="11">
        <f t="shared" si="6"/>
        <v>857</v>
      </c>
      <c r="E176" s="11">
        <f t="shared" si="7"/>
        <v>0</v>
      </c>
      <c r="F176" s="11">
        <f t="shared" si="5"/>
        <v>-171400000</v>
      </c>
      <c r="G176" s="11" t="s">
        <v>757</v>
      </c>
    </row>
    <row r="177" spans="1:7">
      <c r="A177" s="11" t="s">
        <v>805</v>
      </c>
      <c r="B177" s="3">
        <v>1700000</v>
      </c>
      <c r="C177" s="11">
        <v>1</v>
      </c>
      <c r="D177" s="11">
        <f t="shared" si="6"/>
        <v>857</v>
      </c>
      <c r="E177" s="11">
        <f t="shared" si="7"/>
        <v>1</v>
      </c>
      <c r="F177" s="11">
        <f t="shared" si="5"/>
        <v>1455200000</v>
      </c>
      <c r="G177" s="11" t="s">
        <v>806</v>
      </c>
    </row>
    <row r="178" spans="1:7">
      <c r="A178" s="11" t="s">
        <v>807</v>
      </c>
      <c r="B178" s="3">
        <v>-200000</v>
      </c>
      <c r="C178" s="11">
        <v>1</v>
      </c>
      <c r="D178" s="11">
        <f t="shared" si="6"/>
        <v>856</v>
      </c>
      <c r="E178" s="11">
        <f t="shared" si="7"/>
        <v>0</v>
      </c>
      <c r="F178" s="11">
        <f t="shared" si="5"/>
        <v>-171200000</v>
      </c>
      <c r="G178" s="11" t="s">
        <v>502</v>
      </c>
    </row>
    <row r="179" spans="1:7">
      <c r="A179" s="11" t="s">
        <v>809</v>
      </c>
      <c r="B179" s="3">
        <v>571492</v>
      </c>
      <c r="C179" s="11">
        <v>3</v>
      </c>
      <c r="D179" s="11">
        <f t="shared" si="6"/>
        <v>855</v>
      </c>
      <c r="E179" s="11">
        <f t="shared" si="7"/>
        <v>1</v>
      </c>
      <c r="F179" s="11">
        <f t="shared" si="5"/>
        <v>488054168</v>
      </c>
      <c r="G179" s="11" t="s">
        <v>242</v>
      </c>
    </row>
    <row r="180" spans="1:7">
      <c r="A180" s="11" t="s">
        <v>814</v>
      </c>
      <c r="B180" s="3">
        <v>3000000</v>
      </c>
      <c r="C180" s="11">
        <v>7</v>
      </c>
      <c r="D180" s="11">
        <f t="shared" si="6"/>
        <v>852</v>
      </c>
      <c r="E180" s="11">
        <f t="shared" si="7"/>
        <v>1</v>
      </c>
      <c r="F180" s="11">
        <f t="shared" si="5"/>
        <v>2553000000</v>
      </c>
      <c r="G180" s="11" t="s">
        <v>817</v>
      </c>
    </row>
    <row r="181" spans="1:7">
      <c r="A181" s="11" t="s">
        <v>826</v>
      </c>
      <c r="B181" s="3">
        <v>2000000</v>
      </c>
      <c r="C181" s="11">
        <v>8</v>
      </c>
      <c r="D181" s="11">
        <f t="shared" si="6"/>
        <v>845</v>
      </c>
      <c r="E181" s="11">
        <f t="shared" si="7"/>
        <v>1</v>
      </c>
      <c r="F181" s="11">
        <f t="shared" si="5"/>
        <v>1688000000</v>
      </c>
      <c r="G181" s="11" t="s">
        <v>827</v>
      </c>
    </row>
    <row r="182" spans="1:7">
      <c r="A182" s="11" t="s">
        <v>838</v>
      </c>
      <c r="B182" s="3">
        <v>-2200700</v>
      </c>
      <c r="C182" s="11">
        <v>12</v>
      </c>
      <c r="D182" s="11">
        <f t="shared" si="6"/>
        <v>837</v>
      </c>
      <c r="E182" s="11">
        <f t="shared" si="7"/>
        <v>0</v>
      </c>
      <c r="F182" s="11">
        <f t="shared" si="5"/>
        <v>-1841985900</v>
      </c>
      <c r="G182" s="11" t="s">
        <v>840</v>
      </c>
    </row>
    <row r="183" spans="1:7">
      <c r="A183" s="11" t="s">
        <v>848</v>
      </c>
      <c r="B183" s="3">
        <v>675087</v>
      </c>
      <c r="C183" s="11">
        <v>30</v>
      </c>
      <c r="D183" s="11">
        <f t="shared" si="6"/>
        <v>825</v>
      </c>
      <c r="E183" s="11">
        <f t="shared" si="7"/>
        <v>1</v>
      </c>
      <c r="F183" s="11">
        <f t="shared" si="5"/>
        <v>556271688</v>
      </c>
      <c r="G183" s="11" t="s">
        <v>264</v>
      </c>
    </row>
    <row r="184" spans="1:7">
      <c r="A184" s="11" t="s">
        <v>884</v>
      </c>
      <c r="B184" s="3">
        <v>677000</v>
      </c>
      <c r="C184" s="11">
        <v>15</v>
      </c>
      <c r="D184" s="11">
        <f>D185+C184</f>
        <v>795</v>
      </c>
      <c r="E184" s="11">
        <f t="shared" si="7"/>
        <v>1</v>
      </c>
      <c r="F184" s="11">
        <f t="shared" si="5"/>
        <v>537538000</v>
      </c>
      <c r="G184" s="11" t="s">
        <v>400</v>
      </c>
    </row>
    <row r="185" spans="1:7">
      <c r="A185" s="11" t="s">
        <v>909</v>
      </c>
      <c r="B185" s="3">
        <v>-10000</v>
      </c>
      <c r="C185" s="11">
        <v>5</v>
      </c>
      <c r="D185" s="11">
        <f t="shared" si="6"/>
        <v>780</v>
      </c>
      <c r="E185" s="11">
        <f t="shared" si="7"/>
        <v>0</v>
      </c>
      <c r="F185" s="11">
        <f t="shared" si="5"/>
        <v>-7800000</v>
      </c>
      <c r="G185" s="11" t="s">
        <v>915</v>
      </c>
    </row>
    <row r="186" spans="1:7">
      <c r="A186" s="11" t="s">
        <v>926</v>
      </c>
      <c r="B186" s="3">
        <v>-80500000</v>
      </c>
      <c r="C186" s="11">
        <v>5</v>
      </c>
      <c r="D186" s="11">
        <f t="shared" ref="D186:D275" si="8">D187+C186</f>
        <v>775</v>
      </c>
      <c r="E186" s="11">
        <f t="shared" si="7"/>
        <v>0</v>
      </c>
      <c r="F186" s="11">
        <f t="shared" si="5"/>
        <v>-62387500000</v>
      </c>
      <c r="G186" s="11" t="s">
        <v>1015</v>
      </c>
    </row>
    <row r="187" spans="1:7">
      <c r="A187" s="11" t="s">
        <v>1014</v>
      </c>
      <c r="B187" s="3">
        <v>-1100000</v>
      </c>
      <c r="C187" s="11">
        <v>0</v>
      </c>
      <c r="D187" s="11">
        <f t="shared" si="8"/>
        <v>770</v>
      </c>
      <c r="E187" s="11">
        <f t="shared" si="7"/>
        <v>0</v>
      </c>
      <c r="F187" s="11">
        <f t="shared" si="5"/>
        <v>-847000000</v>
      </c>
      <c r="G187" s="11" t="s">
        <v>1015</v>
      </c>
    </row>
    <row r="188" spans="1:7">
      <c r="A188" s="11" t="s">
        <v>1014</v>
      </c>
      <c r="B188" s="3">
        <v>3000000</v>
      </c>
      <c r="C188" s="11">
        <v>1</v>
      </c>
      <c r="D188" s="11">
        <f t="shared" si="8"/>
        <v>770</v>
      </c>
      <c r="E188" s="11">
        <f t="shared" si="7"/>
        <v>1</v>
      </c>
      <c r="F188" s="11">
        <f t="shared" si="5"/>
        <v>2307000000</v>
      </c>
      <c r="G188" s="11" t="s">
        <v>1026</v>
      </c>
    </row>
    <row r="189" spans="1:7">
      <c r="A189" s="11" t="s">
        <v>1025</v>
      </c>
      <c r="B189" s="3">
        <v>2000000</v>
      </c>
      <c r="C189" s="11">
        <v>0</v>
      </c>
      <c r="D189" s="11">
        <f t="shared" si="8"/>
        <v>769</v>
      </c>
      <c r="E189" s="11">
        <f t="shared" si="7"/>
        <v>1</v>
      </c>
      <c r="F189" s="11">
        <f t="shared" si="5"/>
        <v>1536000000</v>
      </c>
      <c r="G189" s="11" t="s">
        <v>1026</v>
      </c>
    </row>
    <row r="190" spans="1:7">
      <c r="A190" s="11" t="s">
        <v>1025</v>
      </c>
      <c r="B190" s="3">
        <v>-5000000</v>
      </c>
      <c r="C190" s="11">
        <v>1</v>
      </c>
      <c r="D190" s="11">
        <f t="shared" si="8"/>
        <v>769</v>
      </c>
      <c r="E190" s="11">
        <f t="shared" si="7"/>
        <v>0</v>
      </c>
      <c r="F190" s="11">
        <f t="shared" si="5"/>
        <v>-3845000000</v>
      </c>
      <c r="G190" s="11" t="s">
        <v>1015</v>
      </c>
    </row>
    <row r="191" spans="1:7">
      <c r="A191" s="11" t="s">
        <v>1031</v>
      </c>
      <c r="B191" s="3">
        <v>483248</v>
      </c>
      <c r="C191" s="11">
        <v>4</v>
      </c>
      <c r="D191" s="11">
        <f t="shared" si="8"/>
        <v>768</v>
      </c>
      <c r="E191" s="11">
        <f t="shared" si="7"/>
        <v>1</v>
      </c>
      <c r="F191" s="11">
        <f t="shared" si="5"/>
        <v>370651216</v>
      </c>
      <c r="G191" s="11" t="s">
        <v>1033</v>
      </c>
    </row>
    <row r="192" spans="1:7">
      <c r="A192" s="11" t="s">
        <v>1059</v>
      </c>
      <c r="B192" s="3">
        <v>-115300</v>
      </c>
      <c r="C192" s="11">
        <v>4</v>
      </c>
      <c r="D192" s="11">
        <f t="shared" si="8"/>
        <v>764</v>
      </c>
      <c r="E192" s="11">
        <f t="shared" si="7"/>
        <v>0</v>
      </c>
      <c r="F192" s="11">
        <f t="shared" si="5"/>
        <v>-88089200</v>
      </c>
      <c r="G192" s="11" t="s">
        <v>1060</v>
      </c>
    </row>
    <row r="193" spans="1:7">
      <c r="A193" s="11" t="s">
        <v>1070</v>
      </c>
      <c r="B193" s="3">
        <v>90000000</v>
      </c>
      <c r="C193" s="11">
        <v>7</v>
      </c>
      <c r="D193" s="11">
        <f t="shared" si="8"/>
        <v>760</v>
      </c>
      <c r="E193" s="11">
        <f t="shared" si="7"/>
        <v>1</v>
      </c>
      <c r="F193" s="11">
        <f t="shared" si="5"/>
        <v>68310000000</v>
      </c>
      <c r="G193" s="11" t="s">
        <v>1071</v>
      </c>
    </row>
    <row r="194" spans="1:7">
      <c r="A194" s="11" t="s">
        <v>1074</v>
      </c>
      <c r="B194" s="3">
        <v>52000000</v>
      </c>
      <c r="C194" s="11">
        <v>0</v>
      </c>
      <c r="D194" s="11">
        <f t="shared" si="8"/>
        <v>753</v>
      </c>
      <c r="E194" s="11">
        <f t="shared" si="7"/>
        <v>1</v>
      </c>
      <c r="F194" s="11">
        <f t="shared" si="5"/>
        <v>39104000000</v>
      </c>
      <c r="G194" s="11" t="s">
        <v>1079</v>
      </c>
    </row>
    <row r="195" spans="1:7">
      <c r="A195" s="11" t="s">
        <v>1074</v>
      </c>
      <c r="B195" s="3">
        <v>25000000</v>
      </c>
      <c r="C195" s="11">
        <v>0</v>
      </c>
      <c r="D195" s="11">
        <f t="shared" si="8"/>
        <v>753</v>
      </c>
      <c r="E195" s="11">
        <f t="shared" si="7"/>
        <v>1</v>
      </c>
      <c r="F195" s="99">
        <f t="shared" si="5"/>
        <v>18800000000</v>
      </c>
      <c r="G195" s="11" t="s">
        <v>1080</v>
      </c>
    </row>
    <row r="196" spans="1:7">
      <c r="A196" s="11" t="s">
        <v>1074</v>
      </c>
      <c r="B196" s="3">
        <v>-168000000</v>
      </c>
      <c r="C196" s="11">
        <v>7</v>
      </c>
      <c r="D196" s="99">
        <f t="shared" si="8"/>
        <v>753</v>
      </c>
      <c r="E196" s="99">
        <f t="shared" si="7"/>
        <v>0</v>
      </c>
      <c r="F196" s="99">
        <f t="shared" si="5"/>
        <v>-126504000000</v>
      </c>
      <c r="G196" s="11" t="s">
        <v>1081</v>
      </c>
    </row>
    <row r="197" spans="1:7">
      <c r="A197" s="11" t="s">
        <v>1127</v>
      </c>
      <c r="B197" s="3">
        <v>-165500</v>
      </c>
      <c r="C197" s="11">
        <v>4</v>
      </c>
      <c r="D197" s="99">
        <f t="shared" si="8"/>
        <v>746</v>
      </c>
      <c r="E197" s="99">
        <f t="shared" si="7"/>
        <v>0</v>
      </c>
      <c r="F197" s="99">
        <f t="shared" si="5"/>
        <v>-123463000</v>
      </c>
      <c r="G197" s="11" t="s">
        <v>1128</v>
      </c>
    </row>
    <row r="198" spans="1:7">
      <c r="A198" s="99" t="s">
        <v>1129</v>
      </c>
      <c r="B198" s="113">
        <v>-200000</v>
      </c>
      <c r="C198" s="99">
        <v>0</v>
      </c>
      <c r="D198" s="99">
        <f t="shared" si="8"/>
        <v>742</v>
      </c>
      <c r="E198" s="99">
        <f t="shared" si="7"/>
        <v>0</v>
      </c>
      <c r="F198" s="99">
        <f t="shared" si="5"/>
        <v>-148400000</v>
      </c>
      <c r="G198" s="99" t="s">
        <v>1130</v>
      </c>
    </row>
    <row r="199" spans="1:7">
      <c r="A199" s="99" t="s">
        <v>1129</v>
      </c>
      <c r="B199" s="113">
        <v>-46981</v>
      </c>
      <c r="C199" s="99">
        <v>3</v>
      </c>
      <c r="D199" s="99">
        <f t="shared" si="8"/>
        <v>742</v>
      </c>
      <c r="E199" s="99">
        <f t="shared" si="7"/>
        <v>0</v>
      </c>
      <c r="F199" s="99">
        <f t="shared" si="5"/>
        <v>-34859902</v>
      </c>
      <c r="G199" s="99" t="s">
        <v>869</v>
      </c>
    </row>
    <row r="200" spans="1:7">
      <c r="A200" s="99" t="s">
        <v>1139</v>
      </c>
      <c r="B200" s="113">
        <v>-4650</v>
      </c>
      <c r="C200" s="99">
        <v>2</v>
      </c>
      <c r="D200" s="99">
        <f t="shared" si="8"/>
        <v>739</v>
      </c>
      <c r="E200" s="99">
        <f t="shared" si="7"/>
        <v>0</v>
      </c>
      <c r="F200" s="99">
        <f t="shared" si="5"/>
        <v>-3436350</v>
      </c>
      <c r="G200" s="99" t="s">
        <v>869</v>
      </c>
    </row>
    <row r="201" spans="1:7">
      <c r="A201" s="99" t="s">
        <v>1141</v>
      </c>
      <c r="B201" s="113">
        <v>159828</v>
      </c>
      <c r="C201" s="99">
        <v>3</v>
      </c>
      <c r="D201" s="99">
        <f t="shared" si="8"/>
        <v>737</v>
      </c>
      <c r="E201" s="99">
        <f t="shared" si="7"/>
        <v>1</v>
      </c>
      <c r="F201" s="99">
        <f t="shared" si="5"/>
        <v>117633408</v>
      </c>
      <c r="G201" s="99" t="s">
        <v>510</v>
      </c>
    </row>
    <row r="202" spans="1:7">
      <c r="A202" s="99" t="s">
        <v>1152</v>
      </c>
      <c r="B202" s="113">
        <v>-300500</v>
      </c>
      <c r="C202" s="99">
        <v>0</v>
      </c>
      <c r="D202" s="99">
        <f t="shared" si="8"/>
        <v>734</v>
      </c>
      <c r="E202" s="99">
        <f t="shared" si="7"/>
        <v>0</v>
      </c>
      <c r="F202" s="99">
        <f t="shared" si="5"/>
        <v>-220567000</v>
      </c>
      <c r="G202" s="99" t="s">
        <v>1156</v>
      </c>
    </row>
    <row r="203" spans="1:7">
      <c r="A203" s="99" t="s">
        <v>1152</v>
      </c>
      <c r="B203" s="113">
        <v>6000000</v>
      </c>
      <c r="C203" s="99">
        <v>2</v>
      </c>
      <c r="D203" s="99">
        <f t="shared" si="8"/>
        <v>734</v>
      </c>
      <c r="E203" s="99">
        <f t="shared" si="7"/>
        <v>1</v>
      </c>
      <c r="F203" s="99">
        <f t="shared" si="5"/>
        <v>4398000000</v>
      </c>
      <c r="G203" s="99" t="s">
        <v>1157</v>
      </c>
    </row>
    <row r="204" spans="1:7">
      <c r="A204" s="99" t="s">
        <v>1161</v>
      </c>
      <c r="B204" s="113">
        <v>-685000</v>
      </c>
      <c r="C204" s="99">
        <v>1</v>
      </c>
      <c r="D204" s="99">
        <f t="shared" si="8"/>
        <v>732</v>
      </c>
      <c r="E204" s="99">
        <f t="shared" si="7"/>
        <v>0</v>
      </c>
      <c r="F204" s="99">
        <f t="shared" si="5"/>
        <v>-501420000</v>
      </c>
      <c r="G204" s="99" t="s">
        <v>1162</v>
      </c>
    </row>
    <row r="205" spans="1:7">
      <c r="A205" s="99" t="s">
        <v>1163</v>
      </c>
      <c r="B205" s="113">
        <v>-3000000</v>
      </c>
      <c r="C205" s="99">
        <v>1</v>
      </c>
      <c r="D205" s="99">
        <f t="shared" si="8"/>
        <v>731</v>
      </c>
      <c r="E205" s="99">
        <f t="shared" si="7"/>
        <v>0</v>
      </c>
      <c r="F205" s="99">
        <f t="shared" si="5"/>
        <v>-2193000000</v>
      </c>
      <c r="G205" s="99" t="s">
        <v>722</v>
      </c>
    </row>
    <row r="206" spans="1:7">
      <c r="A206" s="99" t="s">
        <v>1168</v>
      </c>
      <c r="B206" s="113">
        <v>-156000</v>
      </c>
      <c r="C206" s="99">
        <v>1</v>
      </c>
      <c r="D206" s="99">
        <f t="shared" si="8"/>
        <v>730</v>
      </c>
      <c r="E206" s="99">
        <f t="shared" si="7"/>
        <v>0</v>
      </c>
      <c r="F206" s="99">
        <f t="shared" si="5"/>
        <v>-113880000</v>
      </c>
      <c r="G206" s="99" t="s">
        <v>1169</v>
      </c>
    </row>
    <row r="207" spans="1:7">
      <c r="A207" s="99" t="s">
        <v>1171</v>
      </c>
      <c r="B207" s="113">
        <v>-66000</v>
      </c>
      <c r="C207" s="99">
        <v>1</v>
      </c>
      <c r="D207" s="99">
        <f t="shared" si="8"/>
        <v>729</v>
      </c>
      <c r="E207" s="99">
        <f t="shared" si="7"/>
        <v>0</v>
      </c>
      <c r="F207" s="99">
        <f t="shared" si="5"/>
        <v>-48114000</v>
      </c>
      <c r="G207" s="99" t="s">
        <v>1176</v>
      </c>
    </row>
    <row r="208" spans="1:7">
      <c r="A208" s="99" t="s">
        <v>1177</v>
      </c>
      <c r="B208" s="113">
        <v>-2500900</v>
      </c>
      <c r="C208" s="99">
        <v>2</v>
      </c>
      <c r="D208" s="99">
        <f t="shared" si="8"/>
        <v>728</v>
      </c>
      <c r="E208" s="99">
        <f t="shared" si="7"/>
        <v>0</v>
      </c>
      <c r="F208" s="99">
        <f t="shared" si="5"/>
        <v>-1820655200</v>
      </c>
      <c r="G208" s="99" t="s">
        <v>1184</v>
      </c>
    </row>
    <row r="209" spans="1:7">
      <c r="A209" s="99" t="s">
        <v>1193</v>
      </c>
      <c r="B209" s="113">
        <v>3000000</v>
      </c>
      <c r="C209" s="99">
        <v>0</v>
      </c>
      <c r="D209" s="99">
        <f t="shared" si="8"/>
        <v>726</v>
      </c>
      <c r="E209" s="99">
        <f t="shared" si="7"/>
        <v>1</v>
      </c>
      <c r="F209" s="99">
        <f t="shared" si="5"/>
        <v>2175000000</v>
      </c>
      <c r="G209" s="99" t="s">
        <v>1199</v>
      </c>
    </row>
    <row r="210" spans="1:7">
      <c r="A210" s="99" t="s">
        <v>1193</v>
      </c>
      <c r="B210" s="113">
        <v>-2601400</v>
      </c>
      <c r="C210" s="99">
        <v>2</v>
      </c>
      <c r="D210" s="99">
        <f t="shared" si="8"/>
        <v>726</v>
      </c>
      <c r="E210" s="99">
        <f t="shared" si="7"/>
        <v>0</v>
      </c>
      <c r="F210" s="99">
        <f t="shared" si="5"/>
        <v>-1888616400</v>
      </c>
      <c r="G210" s="99" t="s">
        <v>1200</v>
      </c>
    </row>
    <row r="211" spans="1:7">
      <c r="A211" s="99" t="s">
        <v>1202</v>
      </c>
      <c r="B211" s="113">
        <v>1000000</v>
      </c>
      <c r="C211" s="99">
        <v>2</v>
      </c>
      <c r="D211" s="99">
        <f t="shared" si="8"/>
        <v>724</v>
      </c>
      <c r="E211" s="99">
        <f t="shared" si="7"/>
        <v>1</v>
      </c>
      <c r="F211" s="99">
        <f t="shared" si="5"/>
        <v>723000000</v>
      </c>
      <c r="G211" s="99" t="s">
        <v>1199</v>
      </c>
    </row>
    <row r="212" spans="1:7">
      <c r="A212" s="99" t="s">
        <v>1205</v>
      </c>
      <c r="B212" s="113">
        <v>1350000</v>
      </c>
      <c r="C212" s="99">
        <v>1</v>
      </c>
      <c r="D212" s="99">
        <f t="shared" si="8"/>
        <v>722</v>
      </c>
      <c r="E212" s="99">
        <f t="shared" si="7"/>
        <v>1</v>
      </c>
      <c r="F212" s="99">
        <f t="shared" si="5"/>
        <v>973350000</v>
      </c>
      <c r="G212" s="99" t="s">
        <v>1208</v>
      </c>
    </row>
    <row r="213" spans="1:7">
      <c r="A213" s="99" t="s">
        <v>1211</v>
      </c>
      <c r="B213" s="113">
        <v>-2200000</v>
      </c>
      <c r="C213" s="99">
        <v>0</v>
      </c>
      <c r="D213" s="99">
        <f t="shared" si="8"/>
        <v>721</v>
      </c>
      <c r="E213" s="99">
        <f t="shared" si="7"/>
        <v>0</v>
      </c>
      <c r="F213" s="99">
        <f t="shared" si="5"/>
        <v>-1586200000</v>
      </c>
      <c r="G213" s="99" t="s">
        <v>1212</v>
      </c>
    </row>
    <row r="214" spans="1:7">
      <c r="A214" s="99" t="s">
        <v>1209</v>
      </c>
      <c r="B214" s="113">
        <v>-500500</v>
      </c>
      <c r="C214" s="99">
        <v>3</v>
      </c>
      <c r="D214" s="99">
        <f t="shared" si="8"/>
        <v>721</v>
      </c>
      <c r="E214" s="99">
        <f t="shared" si="7"/>
        <v>0</v>
      </c>
      <c r="F214" s="99">
        <f t="shared" si="5"/>
        <v>-360860500</v>
      </c>
      <c r="G214" s="99" t="s">
        <v>1216</v>
      </c>
    </row>
    <row r="215" spans="1:7">
      <c r="A215" s="99" t="s">
        <v>1219</v>
      </c>
      <c r="B215" s="113">
        <v>-45000</v>
      </c>
      <c r="C215" s="99">
        <v>0</v>
      </c>
      <c r="D215" s="99">
        <f t="shared" si="8"/>
        <v>718</v>
      </c>
      <c r="E215" s="99">
        <f t="shared" si="7"/>
        <v>0</v>
      </c>
      <c r="F215" s="99">
        <f t="shared" si="5"/>
        <v>-32310000</v>
      </c>
      <c r="G215" s="99" t="s">
        <v>1222</v>
      </c>
    </row>
    <row r="216" spans="1:7">
      <c r="A216" s="99" t="s">
        <v>1219</v>
      </c>
      <c r="B216" s="113">
        <v>1000000</v>
      </c>
      <c r="C216" s="99">
        <v>0</v>
      </c>
      <c r="D216" s="99">
        <f t="shared" si="8"/>
        <v>718</v>
      </c>
      <c r="E216" s="99">
        <f t="shared" si="7"/>
        <v>1</v>
      </c>
      <c r="F216" s="99">
        <f t="shared" si="5"/>
        <v>717000000</v>
      </c>
      <c r="G216" s="99" t="s">
        <v>1223</v>
      </c>
    </row>
    <row r="217" spans="1:7">
      <c r="A217" s="99" t="s">
        <v>1219</v>
      </c>
      <c r="B217" s="113">
        <v>-100000</v>
      </c>
      <c r="C217" s="99">
        <v>1</v>
      </c>
      <c r="D217" s="99">
        <f t="shared" si="8"/>
        <v>718</v>
      </c>
      <c r="E217" s="99">
        <f t="shared" si="7"/>
        <v>0</v>
      </c>
      <c r="F217" s="99">
        <f t="shared" si="5"/>
        <v>-71800000</v>
      </c>
      <c r="G217" s="99" t="s">
        <v>502</v>
      </c>
    </row>
    <row r="218" spans="1:7">
      <c r="A218" s="99" t="s">
        <v>1225</v>
      </c>
      <c r="B218" s="113">
        <v>-300000</v>
      </c>
      <c r="C218" s="99">
        <v>3</v>
      </c>
      <c r="D218" s="99">
        <f t="shared" si="8"/>
        <v>717</v>
      </c>
      <c r="E218" s="99">
        <f t="shared" si="7"/>
        <v>0</v>
      </c>
      <c r="F218" s="99">
        <f t="shared" si="5"/>
        <v>-215100000</v>
      </c>
      <c r="G218" s="99" t="s">
        <v>1226</v>
      </c>
    </row>
    <row r="219" spans="1:7">
      <c r="A219" s="99" t="s">
        <v>1238</v>
      </c>
      <c r="B219" s="113">
        <v>-50910</v>
      </c>
      <c r="C219" s="99">
        <v>0</v>
      </c>
      <c r="D219" s="99">
        <f t="shared" si="8"/>
        <v>714</v>
      </c>
      <c r="E219" s="99">
        <f t="shared" si="7"/>
        <v>0</v>
      </c>
      <c r="F219" s="99">
        <f t="shared" si="5"/>
        <v>-36349740</v>
      </c>
      <c r="G219" s="99" t="s">
        <v>1239</v>
      </c>
    </row>
    <row r="220" spans="1:7">
      <c r="A220" s="99" t="s">
        <v>1238</v>
      </c>
      <c r="B220" s="113">
        <v>-550500</v>
      </c>
      <c r="C220" s="99">
        <v>2</v>
      </c>
      <c r="D220" s="99">
        <f t="shared" si="8"/>
        <v>714</v>
      </c>
      <c r="E220" s="99">
        <f t="shared" si="7"/>
        <v>0</v>
      </c>
      <c r="F220" s="99">
        <f t="shared" si="5"/>
        <v>-393057000</v>
      </c>
      <c r="G220" s="99" t="s">
        <v>1240</v>
      </c>
    </row>
    <row r="221" spans="1:7">
      <c r="A221" s="99" t="s">
        <v>3656</v>
      </c>
      <c r="B221" s="113">
        <v>1600000</v>
      </c>
      <c r="C221" s="99">
        <v>1</v>
      </c>
      <c r="D221" s="99">
        <f t="shared" si="8"/>
        <v>712</v>
      </c>
      <c r="E221" s="99">
        <f t="shared" si="7"/>
        <v>1</v>
      </c>
      <c r="F221" s="99">
        <f t="shared" si="5"/>
        <v>1137600000</v>
      </c>
      <c r="G221" s="99" t="s">
        <v>3657</v>
      </c>
    </row>
    <row r="222" spans="1:7">
      <c r="A222" s="99" t="s">
        <v>3658</v>
      </c>
      <c r="B222" s="113">
        <v>-1500700</v>
      </c>
      <c r="C222" s="99">
        <v>5</v>
      </c>
      <c r="D222" s="99">
        <f t="shared" si="8"/>
        <v>711</v>
      </c>
      <c r="E222" s="99">
        <f t="shared" si="7"/>
        <v>0</v>
      </c>
      <c r="F222" s="99">
        <f t="shared" si="5"/>
        <v>-1066997700</v>
      </c>
      <c r="G222" s="99" t="s">
        <v>3660</v>
      </c>
    </row>
    <row r="223" spans="1:7">
      <c r="A223" s="99" t="s">
        <v>3668</v>
      </c>
      <c r="B223" s="113">
        <v>8619</v>
      </c>
      <c r="C223" s="99">
        <v>3</v>
      </c>
      <c r="D223" s="99">
        <f t="shared" si="8"/>
        <v>706</v>
      </c>
      <c r="E223" s="99">
        <f t="shared" si="7"/>
        <v>1</v>
      </c>
      <c r="F223" s="99">
        <f t="shared" si="5"/>
        <v>6076395</v>
      </c>
      <c r="G223" s="99" t="s">
        <v>3671</v>
      </c>
    </row>
    <row r="224" spans="1:7">
      <c r="A224" s="11" t="s">
        <v>3675</v>
      </c>
      <c r="B224" s="3">
        <v>3000000</v>
      </c>
      <c r="C224" s="11">
        <v>2</v>
      </c>
      <c r="D224" s="99">
        <f t="shared" si="8"/>
        <v>703</v>
      </c>
      <c r="E224" s="99">
        <f t="shared" si="7"/>
        <v>1</v>
      </c>
      <c r="F224" s="99">
        <f t="shared" si="5"/>
        <v>2106000000</v>
      </c>
      <c r="G224" s="11" t="s">
        <v>1199</v>
      </c>
    </row>
    <row r="225" spans="1:7">
      <c r="A225" s="11" t="s">
        <v>3691</v>
      </c>
      <c r="B225" s="3">
        <v>-3000900</v>
      </c>
      <c r="C225" s="11">
        <v>1</v>
      </c>
      <c r="D225" s="99">
        <f t="shared" si="8"/>
        <v>701</v>
      </c>
      <c r="E225" s="99">
        <f t="shared" si="7"/>
        <v>0</v>
      </c>
      <c r="F225" s="99">
        <f t="shared" si="5"/>
        <v>-2103630900</v>
      </c>
      <c r="G225" s="11" t="s">
        <v>3692</v>
      </c>
    </row>
    <row r="226" spans="1:7">
      <c r="A226" s="99" t="s">
        <v>3697</v>
      </c>
      <c r="B226" s="113">
        <v>3000000</v>
      </c>
      <c r="C226" s="99">
        <v>0</v>
      </c>
      <c r="D226" s="99">
        <f t="shared" si="8"/>
        <v>700</v>
      </c>
      <c r="E226" s="99">
        <f t="shared" si="7"/>
        <v>1</v>
      </c>
      <c r="F226" s="99">
        <f t="shared" si="5"/>
        <v>2097000000</v>
      </c>
      <c r="G226" s="99" t="s">
        <v>616</v>
      </c>
    </row>
    <row r="227" spans="1:7">
      <c r="A227" s="99" t="s">
        <v>3697</v>
      </c>
      <c r="B227" s="113">
        <v>-175400</v>
      </c>
      <c r="C227" s="99">
        <v>1</v>
      </c>
      <c r="D227" s="99">
        <f t="shared" si="8"/>
        <v>700</v>
      </c>
      <c r="E227" s="99">
        <f t="shared" si="7"/>
        <v>0</v>
      </c>
      <c r="F227" s="99">
        <f t="shared" si="5"/>
        <v>-122780000</v>
      </c>
      <c r="G227" s="99" t="s">
        <v>3698</v>
      </c>
    </row>
    <row r="228" spans="1:7">
      <c r="A228" s="99" t="s">
        <v>3701</v>
      </c>
      <c r="B228" s="113">
        <v>-1200500</v>
      </c>
      <c r="C228" s="99">
        <v>0</v>
      </c>
      <c r="D228" s="99">
        <f t="shared" si="8"/>
        <v>699</v>
      </c>
      <c r="E228" s="99">
        <f t="shared" si="7"/>
        <v>0</v>
      </c>
      <c r="F228" s="99">
        <f t="shared" si="5"/>
        <v>-839149500</v>
      </c>
      <c r="G228" s="99" t="s">
        <v>3702</v>
      </c>
    </row>
    <row r="229" spans="1:7">
      <c r="A229" s="99" t="s">
        <v>3701</v>
      </c>
      <c r="B229" s="113">
        <v>-20555</v>
      </c>
      <c r="C229" s="99">
        <v>1</v>
      </c>
      <c r="D229" s="99">
        <f t="shared" si="8"/>
        <v>699</v>
      </c>
      <c r="E229" s="99">
        <f t="shared" si="7"/>
        <v>0</v>
      </c>
      <c r="F229" s="99">
        <f t="shared" si="5"/>
        <v>-14367945</v>
      </c>
      <c r="G229" s="99" t="s">
        <v>653</v>
      </c>
    </row>
    <row r="230" spans="1:7">
      <c r="A230" s="99" t="s">
        <v>3704</v>
      </c>
      <c r="B230" s="113">
        <v>-1014466</v>
      </c>
      <c r="C230" s="99">
        <v>1</v>
      </c>
      <c r="D230" s="99">
        <f t="shared" si="8"/>
        <v>698</v>
      </c>
      <c r="E230" s="99">
        <f t="shared" si="7"/>
        <v>0</v>
      </c>
      <c r="F230" s="99">
        <f t="shared" si="5"/>
        <v>-708097268</v>
      </c>
      <c r="G230" s="99" t="s">
        <v>3705</v>
      </c>
    </row>
    <row r="231" spans="1:7">
      <c r="A231" s="99" t="s">
        <v>3712</v>
      </c>
      <c r="B231" s="113">
        <v>-24225</v>
      </c>
      <c r="C231" s="99">
        <v>1</v>
      </c>
      <c r="D231" s="99">
        <f t="shared" si="8"/>
        <v>697</v>
      </c>
      <c r="E231" s="99">
        <f t="shared" si="7"/>
        <v>0</v>
      </c>
      <c r="F231" s="99">
        <f t="shared" si="5"/>
        <v>-16884825</v>
      </c>
      <c r="G231" s="99" t="s">
        <v>653</v>
      </c>
    </row>
    <row r="232" spans="1:7">
      <c r="A232" s="99" t="s">
        <v>3713</v>
      </c>
      <c r="B232" s="113">
        <v>1100000</v>
      </c>
      <c r="C232" s="99">
        <v>0</v>
      </c>
      <c r="D232" s="99">
        <f t="shared" si="8"/>
        <v>696</v>
      </c>
      <c r="E232" s="99">
        <f t="shared" si="7"/>
        <v>1</v>
      </c>
      <c r="F232" s="99">
        <f t="shared" si="5"/>
        <v>764500000</v>
      </c>
      <c r="G232" s="99" t="s">
        <v>3714</v>
      </c>
    </row>
    <row r="233" spans="1:7">
      <c r="A233" s="99" t="s">
        <v>3713</v>
      </c>
      <c r="B233" s="113">
        <v>-147900</v>
      </c>
      <c r="C233" s="99">
        <v>4</v>
      </c>
      <c r="D233" s="99">
        <f t="shared" si="8"/>
        <v>696</v>
      </c>
      <c r="E233" s="99">
        <f t="shared" si="7"/>
        <v>0</v>
      </c>
      <c r="F233" s="99">
        <f t="shared" si="5"/>
        <v>-102938400</v>
      </c>
      <c r="G233" s="99" t="s">
        <v>3720</v>
      </c>
    </row>
    <row r="234" spans="1:7">
      <c r="A234" s="99" t="s">
        <v>3727</v>
      </c>
      <c r="B234" s="113">
        <v>-67965</v>
      </c>
      <c r="C234" s="99">
        <v>5</v>
      </c>
      <c r="D234" s="99">
        <f t="shared" si="8"/>
        <v>692</v>
      </c>
      <c r="E234" s="99">
        <f t="shared" si="7"/>
        <v>0</v>
      </c>
      <c r="F234" s="99">
        <f t="shared" si="5"/>
        <v>-47031780</v>
      </c>
      <c r="G234" s="99" t="s">
        <v>653</v>
      </c>
    </row>
    <row r="235" spans="1:7">
      <c r="A235" s="99" t="s">
        <v>3753</v>
      </c>
      <c r="B235" s="113">
        <v>-114734</v>
      </c>
      <c r="C235" s="99">
        <v>1</v>
      </c>
      <c r="D235" s="99">
        <f t="shared" si="8"/>
        <v>687</v>
      </c>
      <c r="E235" s="99">
        <f t="shared" si="7"/>
        <v>0</v>
      </c>
      <c r="F235" s="99">
        <f t="shared" si="5"/>
        <v>-78822258</v>
      </c>
      <c r="G235" s="99" t="s">
        <v>3754</v>
      </c>
    </row>
    <row r="236" spans="1:7">
      <c r="A236" s="99" t="s">
        <v>1140</v>
      </c>
      <c r="B236" s="113">
        <v>-360000</v>
      </c>
      <c r="C236" s="99">
        <v>0</v>
      </c>
      <c r="D236" s="99">
        <f t="shared" si="8"/>
        <v>686</v>
      </c>
      <c r="E236" s="99">
        <f t="shared" si="7"/>
        <v>0</v>
      </c>
      <c r="F236" s="99">
        <f t="shared" si="5"/>
        <v>-246960000</v>
      </c>
      <c r="G236" s="99" t="s">
        <v>3755</v>
      </c>
    </row>
    <row r="237" spans="1:7">
      <c r="A237" s="99" t="s">
        <v>1140</v>
      </c>
      <c r="B237" s="113">
        <v>-211000</v>
      </c>
      <c r="C237" s="99">
        <v>0</v>
      </c>
      <c r="D237" s="99">
        <f t="shared" si="8"/>
        <v>686</v>
      </c>
      <c r="E237" s="99">
        <f t="shared" si="7"/>
        <v>0</v>
      </c>
      <c r="F237" s="99">
        <f t="shared" si="5"/>
        <v>-144746000</v>
      </c>
      <c r="G237" s="99" t="s">
        <v>3757</v>
      </c>
    </row>
    <row r="238" spans="1:7">
      <c r="A238" s="99" t="s">
        <v>1140</v>
      </c>
      <c r="B238" s="113">
        <v>-189700</v>
      </c>
      <c r="C238" s="99">
        <v>1</v>
      </c>
      <c r="D238" s="99">
        <f t="shared" si="8"/>
        <v>686</v>
      </c>
      <c r="E238" s="99">
        <f t="shared" si="7"/>
        <v>0</v>
      </c>
      <c r="F238" s="99">
        <f t="shared" si="5"/>
        <v>-130134200</v>
      </c>
      <c r="G238" s="99" t="s">
        <v>3760</v>
      </c>
    </row>
    <row r="239" spans="1:7">
      <c r="A239" s="99" t="s">
        <v>3761</v>
      </c>
      <c r="B239" s="113">
        <v>-400500</v>
      </c>
      <c r="C239" s="99">
        <v>0</v>
      </c>
      <c r="D239" s="99">
        <f t="shared" si="8"/>
        <v>685</v>
      </c>
      <c r="E239" s="99">
        <f t="shared" si="7"/>
        <v>0</v>
      </c>
      <c r="F239" s="99">
        <f t="shared" si="5"/>
        <v>-274342500</v>
      </c>
      <c r="G239" s="99" t="s">
        <v>3762</v>
      </c>
    </row>
    <row r="240" spans="1:7">
      <c r="A240" s="99" t="s">
        <v>3761</v>
      </c>
      <c r="B240" s="113">
        <v>400000</v>
      </c>
      <c r="C240" s="99">
        <v>3</v>
      </c>
      <c r="D240" s="99">
        <f t="shared" si="8"/>
        <v>685</v>
      </c>
      <c r="E240" s="99">
        <f t="shared" si="7"/>
        <v>1</v>
      </c>
      <c r="F240" s="99">
        <f t="shared" si="5"/>
        <v>273600000</v>
      </c>
      <c r="G240" s="99" t="s">
        <v>3763</v>
      </c>
    </row>
    <row r="241" spans="1:7">
      <c r="A241" s="99" t="s">
        <v>3778</v>
      </c>
      <c r="B241" s="113">
        <v>-320875</v>
      </c>
      <c r="C241" s="99">
        <v>7</v>
      </c>
      <c r="D241" s="99">
        <f t="shared" si="8"/>
        <v>682</v>
      </c>
      <c r="E241" s="99">
        <f t="shared" si="7"/>
        <v>0</v>
      </c>
      <c r="F241" s="99">
        <f t="shared" si="5"/>
        <v>-218836750</v>
      </c>
      <c r="G241" s="99" t="s">
        <v>3779</v>
      </c>
    </row>
    <row r="242" spans="1:7">
      <c r="A242" s="99" t="s">
        <v>3788</v>
      </c>
      <c r="B242" s="113">
        <v>6074</v>
      </c>
      <c r="C242" s="99">
        <v>2</v>
      </c>
      <c r="D242" s="99">
        <f t="shared" si="8"/>
        <v>675</v>
      </c>
      <c r="E242" s="99">
        <f t="shared" si="7"/>
        <v>1</v>
      </c>
      <c r="F242" s="99">
        <f t="shared" si="5"/>
        <v>4093876</v>
      </c>
      <c r="G242" s="99" t="s">
        <v>585</v>
      </c>
    </row>
    <row r="243" spans="1:7">
      <c r="A243" s="99" t="s">
        <v>3790</v>
      </c>
      <c r="B243" s="113">
        <v>-370500</v>
      </c>
      <c r="C243" s="99">
        <v>15</v>
      </c>
      <c r="D243" s="99">
        <f t="shared" si="8"/>
        <v>673</v>
      </c>
      <c r="E243" s="99">
        <f t="shared" si="7"/>
        <v>0</v>
      </c>
      <c r="F243" s="99">
        <f t="shared" si="5"/>
        <v>-249346500</v>
      </c>
      <c r="G243" s="99" t="s">
        <v>3791</v>
      </c>
    </row>
    <row r="244" spans="1:7">
      <c r="A244" s="99" t="s">
        <v>3899</v>
      </c>
      <c r="B244" s="113">
        <v>3000000</v>
      </c>
      <c r="C244" s="99">
        <v>2</v>
      </c>
      <c r="D244" s="99">
        <f t="shared" si="8"/>
        <v>658</v>
      </c>
      <c r="E244" s="99">
        <f t="shared" si="7"/>
        <v>1</v>
      </c>
      <c r="F244" s="99">
        <f t="shared" si="5"/>
        <v>1971000000</v>
      </c>
      <c r="G244" s="99" t="s">
        <v>3900</v>
      </c>
    </row>
    <row r="245" spans="1:7">
      <c r="A245" s="99" t="s">
        <v>3907</v>
      </c>
      <c r="B245" s="113">
        <v>-80000</v>
      </c>
      <c r="C245" s="99">
        <v>1</v>
      </c>
      <c r="D245" s="99">
        <f t="shared" si="8"/>
        <v>656</v>
      </c>
      <c r="E245" s="99">
        <f t="shared" si="7"/>
        <v>0</v>
      </c>
      <c r="F245" s="99">
        <f t="shared" si="5"/>
        <v>-52480000</v>
      </c>
      <c r="G245" s="99" t="s">
        <v>502</v>
      </c>
    </row>
    <row r="246" spans="1:7">
      <c r="A246" s="99" t="s">
        <v>3908</v>
      </c>
      <c r="B246" s="113">
        <v>-2700000</v>
      </c>
      <c r="C246" s="99">
        <v>0</v>
      </c>
      <c r="D246" s="99">
        <f t="shared" si="8"/>
        <v>655</v>
      </c>
      <c r="E246" s="99">
        <f t="shared" si="7"/>
        <v>0</v>
      </c>
      <c r="F246" s="99">
        <f t="shared" si="5"/>
        <v>-1768500000</v>
      </c>
      <c r="G246" s="99" t="s">
        <v>3910</v>
      </c>
    </row>
    <row r="247" spans="1:7">
      <c r="A247" s="99" t="s">
        <v>3908</v>
      </c>
      <c r="B247" s="113">
        <v>-30000</v>
      </c>
      <c r="C247" s="99">
        <v>2</v>
      </c>
      <c r="D247" s="99">
        <f t="shared" si="8"/>
        <v>655</v>
      </c>
      <c r="E247" s="99">
        <f t="shared" si="7"/>
        <v>0</v>
      </c>
      <c r="F247" s="99">
        <f t="shared" si="5"/>
        <v>-19650000</v>
      </c>
      <c r="G247" s="99" t="s">
        <v>3910</v>
      </c>
    </row>
    <row r="248" spans="1:7">
      <c r="A248" s="99" t="s">
        <v>3914</v>
      </c>
      <c r="B248" s="113">
        <v>-120000</v>
      </c>
      <c r="C248" s="99">
        <v>1</v>
      </c>
      <c r="D248" s="99">
        <f t="shared" si="8"/>
        <v>653</v>
      </c>
      <c r="E248" s="99">
        <f t="shared" si="7"/>
        <v>0</v>
      </c>
      <c r="F248" s="99">
        <f t="shared" si="5"/>
        <v>-78360000</v>
      </c>
      <c r="G248" s="99" t="s">
        <v>3915</v>
      </c>
    </row>
    <row r="249" spans="1:7">
      <c r="A249" s="74" t="s">
        <v>3932</v>
      </c>
      <c r="B249" s="163">
        <v>-56425</v>
      </c>
      <c r="C249" s="99">
        <v>1</v>
      </c>
      <c r="D249" s="99">
        <f t="shared" si="8"/>
        <v>652</v>
      </c>
      <c r="E249" s="99">
        <f>IF(B250&gt;0,1,0)</f>
        <v>1</v>
      </c>
      <c r="F249" s="99">
        <f t="shared" si="5"/>
        <v>-36732675</v>
      </c>
      <c r="G249" s="74" t="s">
        <v>653</v>
      </c>
    </row>
    <row r="250" spans="1:7">
      <c r="A250" s="99" t="s">
        <v>3922</v>
      </c>
      <c r="B250" s="113">
        <v>800000</v>
      </c>
      <c r="C250" s="99">
        <v>1</v>
      </c>
      <c r="D250" s="99">
        <f t="shared" si="8"/>
        <v>651</v>
      </c>
      <c r="E250" s="99">
        <f>IF(B251&gt;0,1,0)</f>
        <v>0</v>
      </c>
      <c r="F250" s="99">
        <f t="shared" ref="F250:F313" si="9">B250*(D250-E250)</f>
        <v>520800000</v>
      </c>
      <c r="G250" s="99" t="s">
        <v>3887</v>
      </c>
    </row>
    <row r="251" spans="1:7">
      <c r="A251" s="99" t="s">
        <v>3927</v>
      </c>
      <c r="B251" s="113">
        <v>-19450</v>
      </c>
      <c r="C251" s="99">
        <v>0</v>
      </c>
      <c r="D251" s="99">
        <f t="shared" si="8"/>
        <v>650</v>
      </c>
      <c r="E251" s="99">
        <f>IF(B252&gt;0,1,0)</f>
        <v>0</v>
      </c>
      <c r="F251" s="99">
        <f t="shared" si="9"/>
        <v>-12642500</v>
      </c>
      <c r="G251" s="99" t="s">
        <v>3930</v>
      </c>
    </row>
    <row r="252" spans="1:7">
      <c r="A252" s="99" t="s">
        <v>3927</v>
      </c>
      <c r="B252" s="113">
        <v>-500000</v>
      </c>
      <c r="C252" s="99">
        <v>0</v>
      </c>
      <c r="D252" s="99">
        <f t="shared" si="8"/>
        <v>650</v>
      </c>
      <c r="E252" s="99">
        <f>IF(B253&gt;0,1,0)</f>
        <v>1</v>
      </c>
      <c r="F252" s="99">
        <f t="shared" si="9"/>
        <v>-324500000</v>
      </c>
      <c r="G252" s="99" t="s">
        <v>3931</v>
      </c>
    </row>
    <row r="253" spans="1:7">
      <c r="A253" s="99" t="s">
        <v>3927</v>
      </c>
      <c r="B253" s="113">
        <v>500000</v>
      </c>
      <c r="C253" s="99">
        <v>0</v>
      </c>
      <c r="D253" s="99">
        <f t="shared" si="8"/>
        <v>650</v>
      </c>
      <c r="E253" s="99">
        <f t="shared" ref="E253:E275" si="10">IF(B254&gt;0,1,0)</f>
        <v>0</v>
      </c>
      <c r="F253" s="99">
        <f t="shared" si="9"/>
        <v>325000000</v>
      </c>
      <c r="G253" s="99" t="s">
        <v>3931</v>
      </c>
    </row>
    <row r="254" spans="1:7">
      <c r="A254" s="99" t="s">
        <v>3927</v>
      </c>
      <c r="B254" s="113">
        <v>-454613</v>
      </c>
      <c r="C254" s="99">
        <v>1</v>
      </c>
      <c r="D254" s="99">
        <f t="shared" si="8"/>
        <v>650</v>
      </c>
      <c r="E254" s="99">
        <f t="shared" si="10"/>
        <v>0</v>
      </c>
      <c r="F254" s="99">
        <f t="shared" si="9"/>
        <v>-295498450</v>
      </c>
      <c r="G254" s="99" t="s">
        <v>3933</v>
      </c>
    </row>
    <row r="255" spans="1:7">
      <c r="A255" s="99" t="s">
        <v>3935</v>
      </c>
      <c r="B255" s="113">
        <v>-19600</v>
      </c>
      <c r="C255" s="99">
        <v>0</v>
      </c>
      <c r="D255" s="99">
        <f t="shared" si="8"/>
        <v>649</v>
      </c>
      <c r="E255" s="99">
        <f t="shared" si="10"/>
        <v>0</v>
      </c>
      <c r="F255" s="99">
        <f t="shared" si="9"/>
        <v>-12720400</v>
      </c>
      <c r="G255" s="99" t="s">
        <v>3937</v>
      </c>
    </row>
    <row r="256" spans="1:7">
      <c r="A256" s="99" t="s">
        <v>3935</v>
      </c>
      <c r="B256" s="113">
        <v>-25220</v>
      </c>
      <c r="C256" s="99">
        <v>1</v>
      </c>
      <c r="D256" s="99">
        <f t="shared" si="8"/>
        <v>649</v>
      </c>
      <c r="E256" s="99">
        <f t="shared" si="10"/>
        <v>0</v>
      </c>
      <c r="F256" s="99">
        <f t="shared" si="9"/>
        <v>-16367780</v>
      </c>
      <c r="G256" s="99" t="s">
        <v>3754</v>
      </c>
    </row>
    <row r="257" spans="1:11">
      <c r="A257" s="99" t="s">
        <v>3939</v>
      </c>
      <c r="B257" s="113">
        <v>-149500</v>
      </c>
      <c r="C257" s="99">
        <v>0</v>
      </c>
      <c r="D257" s="99">
        <f t="shared" si="8"/>
        <v>648</v>
      </c>
      <c r="E257" s="99">
        <f t="shared" si="10"/>
        <v>0</v>
      </c>
      <c r="F257" s="99">
        <f t="shared" si="9"/>
        <v>-96876000</v>
      </c>
      <c r="G257" s="99" t="s">
        <v>3940</v>
      </c>
    </row>
    <row r="258" spans="1:11">
      <c r="A258" s="99" t="s">
        <v>3939</v>
      </c>
      <c r="B258" s="113">
        <v>-155000</v>
      </c>
      <c r="C258" s="99">
        <v>82</v>
      </c>
      <c r="D258" s="99">
        <f t="shared" si="8"/>
        <v>648</v>
      </c>
      <c r="E258" s="99">
        <f t="shared" si="10"/>
        <v>0</v>
      </c>
      <c r="F258" s="99">
        <f t="shared" si="9"/>
        <v>-100440000</v>
      </c>
      <c r="G258" s="99" t="s">
        <v>3941</v>
      </c>
    </row>
    <row r="259" spans="1:11">
      <c r="A259" s="99" t="s">
        <v>4231</v>
      </c>
      <c r="B259" s="113">
        <v>-5000</v>
      </c>
      <c r="C259" s="99">
        <v>82</v>
      </c>
      <c r="D259" s="99">
        <f t="shared" si="8"/>
        <v>566</v>
      </c>
      <c r="E259" s="99">
        <f t="shared" si="10"/>
        <v>1</v>
      </c>
      <c r="F259" s="99">
        <f t="shared" si="9"/>
        <v>-2825000</v>
      </c>
      <c r="G259" s="99" t="s">
        <v>4238</v>
      </c>
    </row>
    <row r="260" spans="1:11">
      <c r="A260" s="99" t="s">
        <v>4556</v>
      </c>
      <c r="B260" s="113">
        <v>100000</v>
      </c>
      <c r="C260" s="99">
        <v>1</v>
      </c>
      <c r="D260" s="99">
        <f t="shared" si="8"/>
        <v>484</v>
      </c>
      <c r="E260" s="99">
        <f t="shared" si="10"/>
        <v>1</v>
      </c>
      <c r="F260" s="99">
        <f t="shared" si="9"/>
        <v>48300000</v>
      </c>
      <c r="G260" s="99" t="s">
        <v>3887</v>
      </c>
    </row>
    <row r="261" spans="1:11">
      <c r="A261" s="99" t="s">
        <v>991</v>
      </c>
      <c r="B261" s="113">
        <v>3000000</v>
      </c>
      <c r="C261" s="99">
        <v>3</v>
      </c>
      <c r="D261" s="99">
        <f t="shared" si="8"/>
        <v>483</v>
      </c>
      <c r="E261" s="99">
        <f t="shared" si="10"/>
        <v>0</v>
      </c>
      <c r="F261" s="99">
        <f t="shared" si="9"/>
        <v>1449000000</v>
      </c>
      <c r="G261" s="99" t="s">
        <v>3887</v>
      </c>
    </row>
    <row r="262" spans="1:11">
      <c r="A262" s="99" t="s">
        <v>4568</v>
      </c>
      <c r="B262" s="113">
        <v>-66500</v>
      </c>
      <c r="C262" s="99">
        <v>2</v>
      </c>
      <c r="D262" s="99">
        <f t="shared" si="8"/>
        <v>480</v>
      </c>
      <c r="E262" s="99">
        <f t="shared" si="10"/>
        <v>0</v>
      </c>
      <c r="F262" s="99">
        <f t="shared" si="9"/>
        <v>-31920000</v>
      </c>
      <c r="G262" s="99" t="s">
        <v>3960</v>
      </c>
      <c r="K262" t="s">
        <v>25</v>
      </c>
    </row>
    <row r="263" spans="1:11">
      <c r="A263" s="99" t="s">
        <v>4569</v>
      </c>
      <c r="B263" s="113">
        <v>-37878</v>
      </c>
      <c r="C263" s="99">
        <v>2</v>
      </c>
      <c r="D263" s="99">
        <f t="shared" si="8"/>
        <v>478</v>
      </c>
      <c r="E263" s="99">
        <f t="shared" si="10"/>
        <v>0</v>
      </c>
      <c r="F263" s="99">
        <f t="shared" si="9"/>
        <v>-18105684</v>
      </c>
      <c r="G263" s="99" t="s">
        <v>4570</v>
      </c>
      <c r="J263" t="s">
        <v>25</v>
      </c>
      <c r="K263" t="s">
        <v>25</v>
      </c>
    </row>
    <row r="264" spans="1:11">
      <c r="A264" s="99" t="s">
        <v>4565</v>
      </c>
      <c r="B264" s="113">
        <v>-41500</v>
      </c>
      <c r="C264" s="99">
        <v>3</v>
      </c>
      <c r="D264" s="99">
        <f t="shared" si="8"/>
        <v>476</v>
      </c>
      <c r="E264" s="99">
        <f t="shared" si="10"/>
        <v>0</v>
      </c>
      <c r="F264" s="99">
        <f t="shared" si="9"/>
        <v>-19754000</v>
      </c>
      <c r="G264" s="99" t="s">
        <v>1036</v>
      </c>
      <c r="J264" t="s">
        <v>25</v>
      </c>
    </row>
    <row r="265" spans="1:11">
      <c r="A265" s="99" t="s">
        <v>4595</v>
      </c>
      <c r="B265" s="113">
        <v>-190000</v>
      </c>
      <c r="C265" s="99">
        <v>1</v>
      </c>
      <c r="D265" s="99">
        <f t="shared" si="8"/>
        <v>473</v>
      </c>
      <c r="E265" s="99">
        <f t="shared" si="10"/>
        <v>0</v>
      </c>
      <c r="F265" s="99">
        <f t="shared" si="9"/>
        <v>-89870000</v>
      </c>
      <c r="G265" s="99"/>
    </row>
    <row r="266" spans="1:11">
      <c r="A266" s="99" t="s">
        <v>4594</v>
      </c>
      <c r="B266" s="113">
        <v>-55000</v>
      </c>
      <c r="C266" s="99">
        <v>1</v>
      </c>
      <c r="D266" s="99">
        <f t="shared" si="8"/>
        <v>472</v>
      </c>
      <c r="E266" s="99">
        <f t="shared" si="10"/>
        <v>0</v>
      </c>
      <c r="F266" s="99">
        <f t="shared" si="9"/>
        <v>-25960000</v>
      </c>
      <c r="G266" s="99"/>
    </row>
    <row r="267" spans="1:11">
      <c r="A267" s="99" t="s">
        <v>4584</v>
      </c>
      <c r="B267" s="113">
        <v>-29395</v>
      </c>
      <c r="C267" s="99">
        <v>2</v>
      </c>
      <c r="D267" s="99">
        <f t="shared" si="8"/>
        <v>471</v>
      </c>
      <c r="E267" s="99">
        <f t="shared" si="10"/>
        <v>0</v>
      </c>
      <c r="F267" s="99">
        <f t="shared" si="9"/>
        <v>-13845045</v>
      </c>
      <c r="G267" s="99"/>
    </row>
    <row r="268" spans="1:11">
      <c r="A268" s="99" t="s">
        <v>4224</v>
      </c>
      <c r="B268" s="113">
        <v>-50000</v>
      </c>
      <c r="C268" s="99">
        <v>1</v>
      </c>
      <c r="D268" s="99">
        <f t="shared" si="8"/>
        <v>469</v>
      </c>
      <c r="E268" s="99">
        <f t="shared" si="10"/>
        <v>0</v>
      </c>
      <c r="F268" s="99">
        <f t="shared" si="9"/>
        <v>-23450000</v>
      </c>
      <c r="G268" s="99"/>
    </row>
    <row r="269" spans="1:11">
      <c r="A269" s="99" t="s">
        <v>4597</v>
      </c>
      <c r="B269" s="113">
        <v>-80000</v>
      </c>
      <c r="C269" s="99">
        <v>1</v>
      </c>
      <c r="D269" s="99">
        <f t="shared" si="8"/>
        <v>468</v>
      </c>
      <c r="E269" s="99">
        <f t="shared" si="10"/>
        <v>0</v>
      </c>
      <c r="F269" s="99">
        <f t="shared" si="9"/>
        <v>-37440000</v>
      </c>
      <c r="G269" s="99"/>
    </row>
    <row r="270" spans="1:11">
      <c r="A270" s="99" t="s">
        <v>3687</v>
      </c>
      <c r="B270" s="113">
        <v>-98909</v>
      </c>
      <c r="C270" s="99">
        <v>3</v>
      </c>
      <c r="D270" s="99">
        <f t="shared" si="8"/>
        <v>467</v>
      </c>
      <c r="E270" s="99">
        <f t="shared" si="10"/>
        <v>0</v>
      </c>
      <c r="F270" s="99">
        <f t="shared" si="9"/>
        <v>-46190503</v>
      </c>
      <c r="G270" s="99"/>
    </row>
    <row r="271" spans="1:11">
      <c r="A271" s="99" t="s">
        <v>4602</v>
      </c>
      <c r="B271" s="113">
        <v>-9380</v>
      </c>
      <c r="C271" s="99">
        <v>0</v>
      </c>
      <c r="D271" s="99">
        <f t="shared" si="8"/>
        <v>464</v>
      </c>
      <c r="E271" s="99">
        <f t="shared" si="10"/>
        <v>0</v>
      </c>
      <c r="F271" s="99">
        <f t="shared" si="9"/>
        <v>-4352320</v>
      </c>
      <c r="G271" s="99"/>
    </row>
    <row r="272" spans="1:11">
      <c r="A272" s="99" t="s">
        <v>4602</v>
      </c>
      <c r="B272" s="113">
        <v>-2400000</v>
      </c>
      <c r="C272" s="99">
        <v>3</v>
      </c>
      <c r="D272" s="99">
        <f t="shared" si="8"/>
        <v>464</v>
      </c>
      <c r="E272" s="99">
        <f t="shared" si="10"/>
        <v>1</v>
      </c>
      <c r="F272" s="99">
        <f t="shared" si="9"/>
        <v>-1111200000</v>
      </c>
      <c r="G272" s="99"/>
    </row>
    <row r="273" spans="1:11">
      <c r="A273" s="99" t="s">
        <v>4612</v>
      </c>
      <c r="B273" s="113">
        <v>15000</v>
      </c>
      <c r="C273" s="99">
        <v>93</v>
      </c>
      <c r="D273" s="99">
        <f t="shared" si="8"/>
        <v>461</v>
      </c>
      <c r="E273" s="99">
        <f t="shared" si="10"/>
        <v>1</v>
      </c>
      <c r="F273" s="99">
        <f t="shared" si="9"/>
        <v>6900000</v>
      </c>
      <c r="G273" s="99"/>
    </row>
    <row r="274" spans="1:11">
      <c r="A274" s="99" t="s">
        <v>4890</v>
      </c>
      <c r="B274" s="113">
        <v>3500000</v>
      </c>
      <c r="C274" s="99">
        <v>0</v>
      </c>
      <c r="D274" s="99">
        <f t="shared" si="8"/>
        <v>368</v>
      </c>
      <c r="E274" s="99">
        <f t="shared" si="10"/>
        <v>0</v>
      </c>
      <c r="F274" s="99">
        <f t="shared" si="9"/>
        <v>1288000000</v>
      </c>
      <c r="G274" s="99"/>
    </row>
    <row r="275" spans="1:11">
      <c r="A275" s="99" t="s">
        <v>4890</v>
      </c>
      <c r="B275" s="113">
        <v>-224012</v>
      </c>
      <c r="C275" s="99">
        <v>2</v>
      </c>
      <c r="D275" s="99">
        <f t="shared" si="8"/>
        <v>368</v>
      </c>
      <c r="E275" s="99">
        <f t="shared" si="10"/>
        <v>0</v>
      </c>
      <c r="F275" s="99">
        <f t="shared" si="9"/>
        <v>-82436416</v>
      </c>
      <c r="G275" s="99"/>
    </row>
    <row r="276" spans="1:11">
      <c r="A276" s="99" t="s">
        <v>4910</v>
      </c>
      <c r="B276" s="113">
        <v>-104671</v>
      </c>
      <c r="C276" s="99">
        <v>1</v>
      </c>
      <c r="D276" s="99">
        <f t="shared" ref="D276:D280" si="11">D277+C276</f>
        <v>366</v>
      </c>
      <c r="E276" s="99">
        <f t="shared" ref="E276:E280" si="12">IF(B277&gt;0,1,0)</f>
        <v>0</v>
      </c>
      <c r="F276" s="99">
        <f t="shared" si="9"/>
        <v>-38309586</v>
      </c>
      <c r="G276" s="99"/>
    </row>
    <row r="277" spans="1:11">
      <c r="A277" s="99" t="s">
        <v>4912</v>
      </c>
      <c r="B277" s="113">
        <v>-272000</v>
      </c>
      <c r="C277" s="99">
        <v>1</v>
      </c>
      <c r="D277" s="99">
        <f t="shared" si="11"/>
        <v>365</v>
      </c>
      <c r="E277" s="99">
        <f t="shared" si="12"/>
        <v>0</v>
      </c>
      <c r="F277" s="99">
        <f t="shared" si="9"/>
        <v>-99280000</v>
      </c>
      <c r="G277" s="99"/>
    </row>
    <row r="278" spans="1:11">
      <c r="A278" s="99" t="s">
        <v>4914</v>
      </c>
      <c r="B278" s="113">
        <v>-2565078</v>
      </c>
      <c r="C278" s="99">
        <v>2</v>
      </c>
      <c r="D278" s="99">
        <f t="shared" si="11"/>
        <v>364</v>
      </c>
      <c r="E278" s="99">
        <f t="shared" si="12"/>
        <v>0</v>
      </c>
      <c r="F278" s="99">
        <f t="shared" si="9"/>
        <v>-933688392</v>
      </c>
      <c r="G278" s="99"/>
    </row>
    <row r="279" spans="1:11">
      <c r="A279" s="99" t="s">
        <v>4862</v>
      </c>
      <c r="B279" s="113">
        <v>-213500</v>
      </c>
      <c r="C279" s="99">
        <v>1</v>
      </c>
      <c r="D279" s="99">
        <f t="shared" si="11"/>
        <v>362</v>
      </c>
      <c r="E279" s="99">
        <f t="shared" si="12"/>
        <v>0</v>
      </c>
      <c r="F279" s="99">
        <f t="shared" si="9"/>
        <v>-77287000</v>
      </c>
      <c r="G279" s="99"/>
    </row>
    <row r="280" spans="1:11">
      <c r="A280" s="99" t="s">
        <v>4931</v>
      </c>
      <c r="B280" s="113">
        <v>-3810</v>
      </c>
      <c r="C280" s="99">
        <v>1</v>
      </c>
      <c r="D280" s="99">
        <f t="shared" si="11"/>
        <v>361</v>
      </c>
      <c r="E280" s="99">
        <f t="shared" si="12"/>
        <v>0</v>
      </c>
      <c r="F280" s="99">
        <f t="shared" si="9"/>
        <v>-1375410</v>
      </c>
      <c r="G280" s="99"/>
      <c r="J280" t="s">
        <v>25</v>
      </c>
    </row>
    <row r="281" spans="1:11">
      <c r="A281" s="99" t="s">
        <v>4932</v>
      </c>
      <c r="B281" s="113">
        <v>-120632</v>
      </c>
      <c r="C281" s="99">
        <v>1</v>
      </c>
      <c r="D281" s="99">
        <f t="shared" ref="D281:D288" si="13">D282+C281</f>
        <v>360</v>
      </c>
      <c r="E281" s="99">
        <f t="shared" ref="E281:E288" si="14">IF(B282&gt;0,1,0)</f>
        <v>1</v>
      </c>
      <c r="F281" s="99">
        <f t="shared" si="9"/>
        <v>-43306888</v>
      </c>
      <c r="G281" s="99"/>
      <c r="J281" t="s">
        <v>25</v>
      </c>
    </row>
    <row r="282" spans="1:11">
      <c r="A282" s="99" t="s">
        <v>4920</v>
      </c>
      <c r="B282" s="113">
        <v>80000</v>
      </c>
      <c r="C282" s="99">
        <v>0</v>
      </c>
      <c r="D282" s="99">
        <f t="shared" si="13"/>
        <v>359</v>
      </c>
      <c r="E282" s="99">
        <f t="shared" si="14"/>
        <v>0</v>
      </c>
      <c r="F282" s="99">
        <f t="shared" si="9"/>
        <v>28720000</v>
      </c>
      <c r="G282" s="99"/>
    </row>
    <row r="283" spans="1:11">
      <c r="A283" s="99" t="s">
        <v>4920</v>
      </c>
      <c r="B283" s="113">
        <v>-2500</v>
      </c>
      <c r="C283" s="99">
        <v>1</v>
      </c>
      <c r="D283" s="99">
        <f t="shared" si="13"/>
        <v>359</v>
      </c>
      <c r="E283" s="99">
        <f t="shared" si="14"/>
        <v>0</v>
      </c>
      <c r="F283" s="99">
        <f t="shared" si="9"/>
        <v>-897500</v>
      </c>
      <c r="G283" s="99"/>
      <c r="J283" s="114">
        <f>B422-498804</f>
        <v>-231185</v>
      </c>
    </row>
    <row r="284" spans="1:11">
      <c r="A284" s="99" t="s">
        <v>4925</v>
      </c>
      <c r="B284" s="113">
        <v>-30000</v>
      </c>
      <c r="C284" s="99">
        <v>1</v>
      </c>
      <c r="D284" s="99">
        <f t="shared" si="13"/>
        <v>358</v>
      </c>
      <c r="E284" s="99">
        <f t="shared" si="14"/>
        <v>0</v>
      </c>
      <c r="F284" s="99">
        <f t="shared" si="9"/>
        <v>-10740000</v>
      </c>
      <c r="G284" s="99"/>
    </row>
    <row r="285" spans="1:11">
      <c r="A285" s="99" t="s">
        <v>4933</v>
      </c>
      <c r="B285" s="113">
        <v>-19800</v>
      </c>
      <c r="C285" s="99">
        <v>1</v>
      </c>
      <c r="D285" s="99">
        <f t="shared" si="13"/>
        <v>357</v>
      </c>
      <c r="E285" s="99">
        <f t="shared" si="14"/>
        <v>1</v>
      </c>
      <c r="F285" s="99">
        <f t="shared" si="9"/>
        <v>-7048800</v>
      </c>
      <c r="G285" s="99"/>
      <c r="K285" t="s">
        <v>25</v>
      </c>
    </row>
    <row r="286" spans="1:11">
      <c r="A286" s="99" t="s">
        <v>4924</v>
      </c>
      <c r="B286" s="113">
        <v>940000</v>
      </c>
      <c r="C286" s="99">
        <v>0</v>
      </c>
      <c r="D286" s="99">
        <f t="shared" si="13"/>
        <v>356</v>
      </c>
      <c r="E286" s="99">
        <f t="shared" si="14"/>
        <v>0</v>
      </c>
      <c r="F286" s="99">
        <f t="shared" si="9"/>
        <v>334640000</v>
      </c>
      <c r="G286" s="99"/>
    </row>
    <row r="287" spans="1:11">
      <c r="A287" s="99" t="s">
        <v>4924</v>
      </c>
      <c r="B287" s="113">
        <v>-201000</v>
      </c>
      <c r="C287" s="99">
        <v>1</v>
      </c>
      <c r="D287" s="99">
        <f t="shared" si="13"/>
        <v>356</v>
      </c>
      <c r="E287" s="99">
        <f t="shared" si="14"/>
        <v>0</v>
      </c>
      <c r="F287" s="99">
        <f t="shared" si="9"/>
        <v>-71556000</v>
      </c>
      <c r="G287" s="99"/>
    </row>
    <row r="288" spans="1:11">
      <c r="A288" s="99" t="s">
        <v>4929</v>
      </c>
      <c r="B288" s="113">
        <v>-320930</v>
      </c>
      <c r="C288" s="99">
        <v>3</v>
      </c>
      <c r="D288" s="99">
        <f t="shared" si="13"/>
        <v>355</v>
      </c>
      <c r="E288" s="99">
        <f t="shared" si="14"/>
        <v>0</v>
      </c>
      <c r="F288" s="99">
        <f t="shared" si="9"/>
        <v>-113930150</v>
      </c>
      <c r="G288" s="99"/>
    </row>
    <row r="289" spans="1:10">
      <c r="A289" s="99" t="s">
        <v>4930</v>
      </c>
      <c r="B289" s="113">
        <v>-400000</v>
      </c>
      <c r="C289" s="99">
        <v>1</v>
      </c>
      <c r="D289" s="99">
        <f t="shared" ref="D289:D306" si="15">D290+C289</f>
        <v>352</v>
      </c>
      <c r="E289" s="99">
        <f t="shared" ref="E289:E306" si="16">IF(B290&gt;0,1,0)</f>
        <v>0</v>
      </c>
      <c r="F289" s="99">
        <f t="shared" si="9"/>
        <v>-140800000</v>
      </c>
      <c r="G289" s="99"/>
    </row>
    <row r="290" spans="1:10">
      <c r="A290" s="99" t="s">
        <v>4937</v>
      </c>
      <c r="B290" s="113">
        <v>-16500</v>
      </c>
      <c r="C290" s="99">
        <v>11</v>
      </c>
      <c r="D290" s="99">
        <f t="shared" si="15"/>
        <v>351</v>
      </c>
      <c r="E290" s="99">
        <f t="shared" si="16"/>
        <v>1</v>
      </c>
      <c r="F290" s="99">
        <f t="shared" si="9"/>
        <v>-5775000</v>
      </c>
      <c r="G290" s="99"/>
    </row>
    <row r="291" spans="1:10">
      <c r="A291" s="99" t="s">
        <v>4956</v>
      </c>
      <c r="B291" s="113">
        <v>2600000</v>
      </c>
      <c r="C291" s="99">
        <v>2</v>
      </c>
      <c r="D291" s="99">
        <f t="shared" si="15"/>
        <v>340</v>
      </c>
      <c r="E291" s="99">
        <f t="shared" si="16"/>
        <v>0</v>
      </c>
      <c r="F291" s="99">
        <f t="shared" si="9"/>
        <v>884000000</v>
      </c>
      <c r="G291" s="99"/>
      <c r="I291" t="s">
        <v>25</v>
      </c>
    </row>
    <row r="292" spans="1:10">
      <c r="A292" s="99" t="s">
        <v>4957</v>
      </c>
      <c r="B292" s="113">
        <v>-1170000</v>
      </c>
      <c r="C292" s="99">
        <v>0</v>
      </c>
      <c r="D292" s="99">
        <f t="shared" si="15"/>
        <v>338</v>
      </c>
      <c r="E292" s="99">
        <f t="shared" si="16"/>
        <v>0</v>
      </c>
      <c r="F292" s="99">
        <f t="shared" si="9"/>
        <v>-395460000</v>
      </c>
      <c r="G292" s="99" t="s">
        <v>4958</v>
      </c>
      <c r="J292" t="s">
        <v>25</v>
      </c>
    </row>
    <row r="293" spans="1:10">
      <c r="A293" s="99" t="s">
        <v>4957</v>
      </c>
      <c r="B293" s="113">
        <v>-9000</v>
      </c>
      <c r="C293" s="99">
        <v>1</v>
      </c>
      <c r="D293" s="99">
        <f t="shared" si="15"/>
        <v>338</v>
      </c>
      <c r="E293" s="99">
        <f t="shared" si="16"/>
        <v>0</v>
      </c>
      <c r="F293" s="99">
        <f t="shared" si="9"/>
        <v>-3042000</v>
      </c>
      <c r="G293" s="99"/>
    </row>
    <row r="294" spans="1:10">
      <c r="A294" s="99" t="s">
        <v>4959</v>
      </c>
      <c r="B294" s="113">
        <v>-1145000</v>
      </c>
      <c r="C294" s="99">
        <v>0</v>
      </c>
      <c r="D294" s="99">
        <f t="shared" si="15"/>
        <v>337</v>
      </c>
      <c r="E294" s="99">
        <f t="shared" si="16"/>
        <v>0</v>
      </c>
      <c r="F294" s="99">
        <f t="shared" si="9"/>
        <v>-385865000</v>
      </c>
      <c r="G294" s="99" t="s">
        <v>4960</v>
      </c>
    </row>
    <row r="295" spans="1:10">
      <c r="A295" s="99" t="s">
        <v>4959</v>
      </c>
      <c r="B295" s="113">
        <v>-94549</v>
      </c>
      <c r="C295" s="99">
        <v>2</v>
      </c>
      <c r="D295" s="99">
        <f t="shared" si="15"/>
        <v>337</v>
      </c>
      <c r="E295" s="99">
        <f t="shared" si="16"/>
        <v>0</v>
      </c>
      <c r="F295" s="99">
        <f t="shared" si="9"/>
        <v>-31863013</v>
      </c>
      <c r="G295" s="99" t="s">
        <v>506</v>
      </c>
      <c r="J295" t="s">
        <v>25</v>
      </c>
    </row>
    <row r="296" spans="1:10">
      <c r="A296" s="99" t="s">
        <v>5117</v>
      </c>
      <c r="B296" s="113">
        <v>-3500</v>
      </c>
      <c r="C296" s="99">
        <v>1</v>
      </c>
      <c r="D296" s="99">
        <f t="shared" si="15"/>
        <v>335</v>
      </c>
      <c r="E296" s="99">
        <f t="shared" si="16"/>
        <v>0</v>
      </c>
      <c r="F296" s="99">
        <f t="shared" si="9"/>
        <v>-1172500</v>
      </c>
      <c r="G296" s="99"/>
      <c r="I296" s="114">
        <f>B422-735892</f>
        <v>-468273</v>
      </c>
    </row>
    <row r="297" spans="1:10">
      <c r="A297" s="99" t="s">
        <v>4967</v>
      </c>
      <c r="B297" s="113">
        <v>-44900</v>
      </c>
      <c r="C297" s="99">
        <v>0</v>
      </c>
      <c r="D297" s="99">
        <f t="shared" si="15"/>
        <v>334</v>
      </c>
      <c r="E297" s="99">
        <f t="shared" si="16"/>
        <v>0</v>
      </c>
      <c r="F297" s="99">
        <f t="shared" si="9"/>
        <v>-14996600</v>
      </c>
      <c r="G297" s="99"/>
    </row>
    <row r="298" spans="1:10">
      <c r="A298" s="99" t="s">
        <v>4967</v>
      </c>
      <c r="B298" s="113">
        <v>-50000</v>
      </c>
      <c r="C298" s="99">
        <v>10</v>
      </c>
      <c r="D298" s="99">
        <f t="shared" si="15"/>
        <v>334</v>
      </c>
      <c r="E298" s="99">
        <f t="shared" si="16"/>
        <v>0</v>
      </c>
      <c r="F298" s="99">
        <f t="shared" si="9"/>
        <v>-16700000</v>
      </c>
      <c r="G298" s="99" t="s">
        <v>506</v>
      </c>
    </row>
    <row r="299" spans="1:10">
      <c r="A299" s="99" t="s">
        <v>4985</v>
      </c>
      <c r="B299" s="113">
        <v>-19850</v>
      </c>
      <c r="C299" s="99">
        <v>1</v>
      </c>
      <c r="D299" s="99">
        <f t="shared" si="15"/>
        <v>324</v>
      </c>
      <c r="E299" s="99">
        <f t="shared" si="16"/>
        <v>0</v>
      </c>
      <c r="F299" s="99">
        <f t="shared" si="9"/>
        <v>-6431400</v>
      </c>
      <c r="G299" s="99"/>
    </row>
    <row r="300" spans="1:10">
      <c r="A300" s="99" t="s">
        <v>4986</v>
      </c>
      <c r="B300" s="113">
        <v>-39770</v>
      </c>
      <c r="C300" s="99">
        <v>6</v>
      </c>
      <c r="D300" s="99">
        <f t="shared" si="15"/>
        <v>323</v>
      </c>
      <c r="E300" s="99">
        <f t="shared" si="16"/>
        <v>0</v>
      </c>
      <c r="F300" s="99">
        <f t="shared" si="9"/>
        <v>-12845710</v>
      </c>
      <c r="G300" s="99"/>
    </row>
    <row r="301" spans="1:10">
      <c r="A301" s="99" t="s">
        <v>5003</v>
      </c>
      <c r="B301" s="113">
        <v>-40000</v>
      </c>
      <c r="C301" s="99">
        <v>71</v>
      </c>
      <c r="D301" s="99">
        <f t="shared" si="15"/>
        <v>317</v>
      </c>
      <c r="E301" s="99">
        <f t="shared" si="16"/>
        <v>1</v>
      </c>
      <c r="F301" s="99">
        <f t="shared" si="9"/>
        <v>-12640000</v>
      </c>
      <c r="G301" s="99"/>
    </row>
    <row r="302" spans="1:10">
      <c r="A302" s="99" t="s">
        <v>5106</v>
      </c>
      <c r="B302" s="113">
        <v>4000000</v>
      </c>
      <c r="C302" s="99">
        <v>1</v>
      </c>
      <c r="D302" s="99">
        <f t="shared" si="15"/>
        <v>246</v>
      </c>
      <c r="E302" s="99">
        <f t="shared" si="16"/>
        <v>0</v>
      </c>
      <c r="F302" s="99">
        <f t="shared" si="9"/>
        <v>984000000</v>
      </c>
      <c r="G302" s="99"/>
    </row>
    <row r="303" spans="1:10">
      <c r="A303" s="99" t="s">
        <v>5110</v>
      </c>
      <c r="B303" s="113">
        <v>-123860</v>
      </c>
      <c r="C303" s="99">
        <v>1</v>
      </c>
      <c r="D303" s="99">
        <f t="shared" si="15"/>
        <v>245</v>
      </c>
      <c r="E303" s="99">
        <f t="shared" si="16"/>
        <v>0</v>
      </c>
      <c r="F303" s="99">
        <f t="shared" si="9"/>
        <v>-30345700</v>
      </c>
      <c r="G303" s="99"/>
    </row>
    <row r="304" spans="1:10">
      <c r="A304" s="99" t="s">
        <v>5072</v>
      </c>
      <c r="B304" s="113">
        <v>-1660000</v>
      </c>
      <c r="C304" s="99">
        <v>1</v>
      </c>
      <c r="D304" s="99">
        <f t="shared" si="15"/>
        <v>244</v>
      </c>
      <c r="E304" s="99">
        <f t="shared" si="16"/>
        <v>0</v>
      </c>
      <c r="F304" s="99">
        <f t="shared" si="9"/>
        <v>-405040000</v>
      </c>
      <c r="G304" s="99"/>
    </row>
    <row r="305" spans="1:11">
      <c r="A305" s="99" t="s">
        <v>5116</v>
      </c>
      <c r="B305" s="113">
        <v>-63857</v>
      </c>
      <c r="C305" s="99">
        <v>0</v>
      </c>
      <c r="D305" s="99">
        <f t="shared" si="15"/>
        <v>243</v>
      </c>
      <c r="E305" s="99">
        <f t="shared" si="16"/>
        <v>0</v>
      </c>
      <c r="F305" s="99">
        <f t="shared" si="9"/>
        <v>-15517251</v>
      </c>
      <c r="G305" s="99"/>
    </row>
    <row r="306" spans="1:11">
      <c r="A306" s="99" t="s">
        <v>5118</v>
      </c>
      <c r="B306" s="113">
        <v>-631</v>
      </c>
      <c r="C306" s="99">
        <v>2</v>
      </c>
      <c r="D306" s="99">
        <f t="shared" si="15"/>
        <v>243</v>
      </c>
      <c r="E306" s="99">
        <f t="shared" si="16"/>
        <v>0</v>
      </c>
      <c r="F306" s="99">
        <f t="shared" si="9"/>
        <v>-153333</v>
      </c>
      <c r="G306" s="99" t="s">
        <v>506</v>
      </c>
      <c r="J306" t="s">
        <v>25</v>
      </c>
    </row>
    <row r="307" spans="1:11">
      <c r="A307" s="99" t="s">
        <v>5122</v>
      </c>
      <c r="B307" s="113">
        <v>-248905</v>
      </c>
      <c r="C307" s="99">
        <v>2</v>
      </c>
      <c r="D307" s="99">
        <f t="shared" ref="D307:D318" si="17">D308+C307</f>
        <v>241</v>
      </c>
      <c r="E307" s="99">
        <f t="shared" ref="E307:E318" si="18">IF(B308&gt;0,1,0)</f>
        <v>0</v>
      </c>
      <c r="F307" s="99">
        <f t="shared" si="9"/>
        <v>-59986105</v>
      </c>
      <c r="G307" s="99"/>
    </row>
    <row r="308" spans="1:11">
      <c r="A308" s="99" t="s">
        <v>5120</v>
      </c>
      <c r="B308" s="113">
        <v>-200000</v>
      </c>
      <c r="C308" s="99">
        <v>0</v>
      </c>
      <c r="D308" s="99">
        <f t="shared" si="17"/>
        <v>239</v>
      </c>
      <c r="E308" s="99">
        <f t="shared" si="18"/>
        <v>0</v>
      </c>
      <c r="F308" s="99">
        <f t="shared" si="9"/>
        <v>-47800000</v>
      </c>
      <c r="G308" s="99"/>
    </row>
    <row r="309" spans="1:11">
      <c r="A309" s="99" t="s">
        <v>5120</v>
      </c>
      <c r="B309" s="113">
        <v>-200000</v>
      </c>
      <c r="C309" s="99">
        <v>3</v>
      </c>
      <c r="D309" s="99">
        <f t="shared" si="17"/>
        <v>239</v>
      </c>
      <c r="E309" s="99">
        <f t="shared" si="18"/>
        <v>0</v>
      </c>
      <c r="F309" s="99">
        <f t="shared" si="9"/>
        <v>-47800000</v>
      </c>
      <c r="G309" s="99"/>
    </row>
    <row r="310" spans="1:11">
      <c r="A310" s="99" t="s">
        <v>5127</v>
      </c>
      <c r="B310" s="113">
        <v>-832590</v>
      </c>
      <c r="C310" s="99">
        <v>0</v>
      </c>
      <c r="D310" s="99">
        <f t="shared" si="17"/>
        <v>236</v>
      </c>
      <c r="E310" s="99">
        <f t="shared" si="18"/>
        <v>0</v>
      </c>
      <c r="F310" s="99">
        <f t="shared" si="9"/>
        <v>-196491240</v>
      </c>
      <c r="G310" s="99"/>
    </row>
    <row r="311" spans="1:11">
      <c r="A311" s="99" t="s">
        <v>5127</v>
      </c>
      <c r="B311" s="113">
        <v>-29950</v>
      </c>
      <c r="C311" s="99">
        <v>1</v>
      </c>
      <c r="D311" s="99">
        <f t="shared" si="17"/>
        <v>236</v>
      </c>
      <c r="E311" s="99">
        <f t="shared" si="18"/>
        <v>0</v>
      </c>
      <c r="F311" s="99">
        <f t="shared" si="9"/>
        <v>-7068200</v>
      </c>
      <c r="G311" s="99"/>
      <c r="K311" t="s">
        <v>25</v>
      </c>
    </row>
    <row r="312" spans="1:11">
      <c r="A312" s="99" t="s">
        <v>5169</v>
      </c>
      <c r="B312" s="113">
        <v>-8500</v>
      </c>
      <c r="C312" s="99">
        <v>1</v>
      </c>
      <c r="D312" s="99">
        <f t="shared" si="17"/>
        <v>235</v>
      </c>
      <c r="E312" s="99">
        <f t="shared" si="18"/>
        <v>0</v>
      </c>
      <c r="F312" s="99">
        <f t="shared" si="9"/>
        <v>-1997500</v>
      </c>
      <c r="G312" s="99"/>
    </row>
    <row r="313" spans="1:11">
      <c r="A313" s="99" t="s">
        <v>5145</v>
      </c>
      <c r="B313" s="113">
        <v>-116300</v>
      </c>
      <c r="C313" s="99">
        <v>1</v>
      </c>
      <c r="D313" s="99">
        <f t="shared" si="17"/>
        <v>234</v>
      </c>
      <c r="E313" s="99">
        <f t="shared" si="18"/>
        <v>0</v>
      </c>
      <c r="F313" s="99">
        <f t="shared" si="9"/>
        <v>-27214200</v>
      </c>
      <c r="G313" s="99"/>
    </row>
    <row r="314" spans="1:11">
      <c r="A314" s="99" t="s">
        <v>5130</v>
      </c>
      <c r="B314" s="113">
        <v>-75500</v>
      </c>
      <c r="C314" s="99">
        <v>1</v>
      </c>
      <c r="D314" s="99">
        <f t="shared" si="17"/>
        <v>233</v>
      </c>
      <c r="E314" s="99">
        <f t="shared" si="18"/>
        <v>0</v>
      </c>
      <c r="F314" s="99">
        <f t="shared" ref="F314:F331" si="19">B314*(D314-E314)</f>
        <v>-17591500</v>
      </c>
      <c r="G314" s="99"/>
    </row>
    <row r="315" spans="1:11">
      <c r="A315" s="99" t="s">
        <v>5140</v>
      </c>
      <c r="B315" s="113">
        <v>-331250</v>
      </c>
      <c r="C315" s="99">
        <v>2</v>
      </c>
      <c r="D315" s="99">
        <f t="shared" si="17"/>
        <v>232</v>
      </c>
      <c r="E315" s="99">
        <f t="shared" si="18"/>
        <v>0</v>
      </c>
      <c r="F315" s="99">
        <f t="shared" si="19"/>
        <v>-76850000</v>
      </c>
      <c r="G315" s="99"/>
    </row>
    <row r="316" spans="1:11">
      <c r="A316" s="99" t="s">
        <v>5170</v>
      </c>
      <c r="B316" s="113">
        <v>-39000</v>
      </c>
      <c r="C316" s="99">
        <v>1</v>
      </c>
      <c r="D316" s="99">
        <f t="shared" si="17"/>
        <v>230</v>
      </c>
      <c r="E316" s="99">
        <f t="shared" si="18"/>
        <v>0</v>
      </c>
      <c r="F316" s="99">
        <f t="shared" si="19"/>
        <v>-8970000</v>
      </c>
      <c r="G316" s="99"/>
      <c r="I316" s="114"/>
    </row>
    <row r="317" spans="1:11">
      <c r="A317" s="99" t="s">
        <v>5142</v>
      </c>
      <c r="B317" s="113">
        <v>-44000</v>
      </c>
      <c r="C317" s="99">
        <v>3</v>
      </c>
      <c r="D317" s="99">
        <f t="shared" si="17"/>
        <v>229</v>
      </c>
      <c r="E317" s="99">
        <f t="shared" si="18"/>
        <v>0</v>
      </c>
      <c r="F317" s="99">
        <f t="shared" si="19"/>
        <v>-10076000</v>
      </c>
      <c r="G317" s="99"/>
      <c r="J317" t="s">
        <v>25</v>
      </c>
    </row>
    <row r="318" spans="1:11">
      <c r="A318" s="99" t="s">
        <v>5088</v>
      </c>
      <c r="B318" s="113">
        <v>-30476</v>
      </c>
      <c r="C318" s="99">
        <v>1</v>
      </c>
      <c r="D318" s="99">
        <f t="shared" si="17"/>
        <v>226</v>
      </c>
      <c r="E318" s="99">
        <f t="shared" si="18"/>
        <v>0</v>
      </c>
      <c r="F318" s="99">
        <f t="shared" si="19"/>
        <v>-6887576</v>
      </c>
      <c r="G318" s="99"/>
    </row>
    <row r="319" spans="1:11">
      <c r="A319" s="99" t="s">
        <v>5148</v>
      </c>
      <c r="B319" s="113">
        <v>-4000</v>
      </c>
      <c r="C319" s="99">
        <v>11</v>
      </c>
      <c r="D319" s="99">
        <f t="shared" ref="D319:D326" si="20">D320+C319</f>
        <v>225</v>
      </c>
      <c r="E319" s="99">
        <f t="shared" ref="E319:E326" si="21">IF(B320&gt;0,1,0)</f>
        <v>1</v>
      </c>
      <c r="F319" s="99">
        <f t="shared" si="19"/>
        <v>-896000</v>
      </c>
      <c r="G319" s="99"/>
    </row>
    <row r="320" spans="1:11">
      <c r="A320" s="99" t="s">
        <v>5171</v>
      </c>
      <c r="B320" s="113">
        <v>6300000</v>
      </c>
      <c r="C320" s="99">
        <v>1</v>
      </c>
      <c r="D320" s="99">
        <f t="shared" si="20"/>
        <v>214</v>
      </c>
      <c r="E320" s="99">
        <f t="shared" si="21"/>
        <v>0</v>
      </c>
      <c r="F320" s="99">
        <f t="shared" si="19"/>
        <v>1348200000</v>
      </c>
      <c r="G320" s="99"/>
    </row>
    <row r="321" spans="1:9">
      <c r="A321" s="99" t="s">
        <v>5195</v>
      </c>
      <c r="B321" s="113">
        <v>-6000000</v>
      </c>
      <c r="C321" s="99">
        <v>2</v>
      </c>
      <c r="D321" s="99">
        <f t="shared" si="20"/>
        <v>213</v>
      </c>
      <c r="E321" s="99">
        <f t="shared" si="21"/>
        <v>0</v>
      </c>
      <c r="F321" s="99">
        <f t="shared" si="19"/>
        <v>-1278000000</v>
      </c>
      <c r="G321" s="99"/>
    </row>
    <row r="322" spans="1:9">
      <c r="A322" s="99" t="s">
        <v>5193</v>
      </c>
      <c r="B322" s="113">
        <v>-295000</v>
      </c>
      <c r="C322" s="99">
        <v>0</v>
      </c>
      <c r="D322" s="99">
        <f t="shared" si="20"/>
        <v>211</v>
      </c>
      <c r="E322" s="99">
        <f t="shared" si="21"/>
        <v>1</v>
      </c>
      <c r="F322" s="99">
        <f t="shared" si="19"/>
        <v>-61950000</v>
      </c>
      <c r="G322" s="99"/>
    </row>
    <row r="323" spans="1:9">
      <c r="A323" s="99" t="s">
        <v>5193</v>
      </c>
      <c r="B323" s="113">
        <v>483</v>
      </c>
      <c r="C323" s="99">
        <v>8</v>
      </c>
      <c r="D323" s="99">
        <f t="shared" si="20"/>
        <v>211</v>
      </c>
      <c r="E323" s="99">
        <f t="shared" si="21"/>
        <v>1</v>
      </c>
      <c r="F323" s="99">
        <f t="shared" si="19"/>
        <v>101430</v>
      </c>
      <c r="G323" s="99" t="s">
        <v>693</v>
      </c>
      <c r="I323" t="s">
        <v>25</v>
      </c>
    </row>
    <row r="324" spans="1:9">
      <c r="A324" s="99" t="s">
        <v>5212</v>
      </c>
      <c r="B324" s="113">
        <v>1700000</v>
      </c>
      <c r="C324" s="99">
        <v>0</v>
      </c>
      <c r="D324" s="99">
        <f t="shared" si="20"/>
        <v>203</v>
      </c>
      <c r="E324" s="99">
        <f t="shared" si="21"/>
        <v>0</v>
      </c>
      <c r="F324" s="99">
        <f t="shared" si="19"/>
        <v>345100000</v>
      </c>
      <c r="G324" s="99"/>
    </row>
    <row r="325" spans="1:9">
      <c r="A325" s="99" t="s">
        <v>5212</v>
      </c>
      <c r="B325" s="113">
        <v>-53000</v>
      </c>
      <c r="C325" s="99">
        <v>1</v>
      </c>
      <c r="D325" s="99">
        <f t="shared" si="20"/>
        <v>203</v>
      </c>
      <c r="E325" s="99">
        <f t="shared" si="21"/>
        <v>0</v>
      </c>
      <c r="F325" s="99">
        <f t="shared" si="19"/>
        <v>-10759000</v>
      </c>
      <c r="G325" s="99"/>
    </row>
    <row r="326" spans="1:9">
      <c r="A326" s="99" t="s">
        <v>5213</v>
      </c>
      <c r="B326" s="113">
        <v>-1300000</v>
      </c>
      <c r="C326" s="99">
        <v>0</v>
      </c>
      <c r="D326" s="99">
        <f t="shared" si="20"/>
        <v>202</v>
      </c>
      <c r="E326" s="99">
        <f t="shared" si="21"/>
        <v>0</v>
      </c>
      <c r="F326" s="99">
        <f t="shared" si="19"/>
        <v>-262600000</v>
      </c>
      <c r="G326" s="99"/>
      <c r="I326" t="s">
        <v>25</v>
      </c>
    </row>
    <row r="327" spans="1:9">
      <c r="A327" s="99" t="s">
        <v>5213</v>
      </c>
      <c r="B327" s="113">
        <v>-41500</v>
      </c>
      <c r="C327" s="99">
        <v>1</v>
      </c>
      <c r="D327" s="99">
        <f t="shared" ref="D327:D331" si="22">D328+C327</f>
        <v>202</v>
      </c>
      <c r="E327" s="99">
        <f t="shared" ref="E327:E331" si="23">IF(B328&gt;0,1,0)</f>
        <v>0</v>
      </c>
      <c r="F327" s="99">
        <f t="shared" si="19"/>
        <v>-8383000</v>
      </c>
      <c r="G327" s="99"/>
    </row>
    <row r="328" spans="1:9">
      <c r="A328" s="99" t="s">
        <v>5216</v>
      </c>
      <c r="B328" s="113">
        <v>-57700</v>
      </c>
      <c r="C328" s="99">
        <v>3</v>
      </c>
      <c r="D328" s="99">
        <f t="shared" si="22"/>
        <v>201</v>
      </c>
      <c r="E328" s="99">
        <f t="shared" si="23"/>
        <v>0</v>
      </c>
      <c r="F328" s="99">
        <f t="shared" si="19"/>
        <v>-11597700</v>
      </c>
      <c r="G328" s="99"/>
    </row>
    <row r="329" spans="1:9">
      <c r="A329" s="99" t="s">
        <v>5219</v>
      </c>
      <c r="B329" s="113">
        <v>-5600</v>
      </c>
      <c r="C329" s="99">
        <v>1</v>
      </c>
      <c r="D329" s="99">
        <f t="shared" si="22"/>
        <v>198</v>
      </c>
      <c r="E329" s="99">
        <f t="shared" si="23"/>
        <v>0</v>
      </c>
      <c r="F329" s="99">
        <f t="shared" si="19"/>
        <v>-1108800</v>
      </c>
      <c r="G329" s="99"/>
    </row>
    <row r="330" spans="1:9">
      <c r="A330" s="99" t="s">
        <v>5221</v>
      </c>
      <c r="B330" s="113">
        <v>-5600</v>
      </c>
      <c r="C330" s="99">
        <v>1</v>
      </c>
      <c r="D330" s="99">
        <f t="shared" si="22"/>
        <v>197</v>
      </c>
      <c r="E330" s="99">
        <f t="shared" si="23"/>
        <v>0</v>
      </c>
      <c r="F330" s="99">
        <f t="shared" si="19"/>
        <v>-1103200</v>
      </c>
      <c r="G330" s="99"/>
    </row>
    <row r="331" spans="1:9">
      <c r="A331" s="99" t="s">
        <v>989</v>
      </c>
      <c r="B331" s="113">
        <v>-68100</v>
      </c>
      <c r="C331" s="99">
        <v>1</v>
      </c>
      <c r="D331" s="99">
        <f t="shared" si="22"/>
        <v>196</v>
      </c>
      <c r="E331" s="99">
        <f t="shared" si="23"/>
        <v>0</v>
      </c>
      <c r="F331" s="99">
        <f t="shared" si="19"/>
        <v>-13347600</v>
      </c>
      <c r="G331" s="99"/>
      <c r="I331" t="s">
        <v>25</v>
      </c>
    </row>
    <row r="332" spans="1:9">
      <c r="A332" s="99" t="s">
        <v>4271</v>
      </c>
      <c r="B332" s="113">
        <v>-25390</v>
      </c>
      <c r="C332" s="99">
        <v>2</v>
      </c>
      <c r="D332" s="99">
        <f t="shared" ref="D332:D333" si="24">D333+C332</f>
        <v>195</v>
      </c>
      <c r="E332" s="99">
        <f t="shared" ref="E332:E333" si="25">IF(B333&gt;0,1,0)</f>
        <v>0</v>
      </c>
      <c r="F332" s="99">
        <f t="shared" ref="F332:F333" si="26">B332*(D332-E332)</f>
        <v>-4951050</v>
      </c>
      <c r="G332" s="99"/>
    </row>
    <row r="333" spans="1:9">
      <c r="A333" s="99" t="s">
        <v>5232</v>
      </c>
      <c r="B333" s="113">
        <v>-78508</v>
      </c>
      <c r="C333" s="99">
        <v>2</v>
      </c>
      <c r="D333" s="99">
        <f t="shared" si="24"/>
        <v>193</v>
      </c>
      <c r="E333" s="99">
        <f t="shared" si="25"/>
        <v>0</v>
      </c>
      <c r="F333" s="99">
        <f t="shared" si="26"/>
        <v>-15152044</v>
      </c>
      <c r="G333" s="99"/>
    </row>
    <row r="334" spans="1:9">
      <c r="A334" s="99" t="s">
        <v>5233</v>
      </c>
      <c r="B334" s="113">
        <v>-2000</v>
      </c>
      <c r="C334" s="99">
        <v>4</v>
      </c>
      <c r="D334" s="99">
        <f t="shared" ref="D334:D352" si="27">D335+C334</f>
        <v>191</v>
      </c>
      <c r="E334" s="99">
        <f t="shared" ref="E334:E352" si="28">IF(B335&gt;0,1,0)</f>
        <v>1</v>
      </c>
      <c r="F334" s="99">
        <f t="shared" ref="F334:F352" si="29">B334*(D334-E334)</f>
        <v>-380000</v>
      </c>
      <c r="G334" s="99"/>
    </row>
    <row r="335" spans="1:9">
      <c r="A335" s="99" t="s">
        <v>5236</v>
      </c>
      <c r="B335" s="113">
        <v>2200472</v>
      </c>
      <c r="C335" s="99">
        <v>1</v>
      </c>
      <c r="D335" s="99">
        <f t="shared" si="27"/>
        <v>187</v>
      </c>
      <c r="E335" s="99">
        <f t="shared" si="28"/>
        <v>0</v>
      </c>
      <c r="F335" s="99">
        <f t="shared" si="29"/>
        <v>411488264</v>
      </c>
      <c r="G335" s="99"/>
      <c r="H335" t="s">
        <v>25</v>
      </c>
    </row>
    <row r="336" spans="1:9">
      <c r="A336" s="99" t="s">
        <v>5242</v>
      </c>
      <c r="B336" s="113">
        <v>-28000</v>
      </c>
      <c r="C336" s="99">
        <v>2</v>
      </c>
      <c r="D336" s="99">
        <f t="shared" si="27"/>
        <v>186</v>
      </c>
      <c r="E336" s="99">
        <f t="shared" si="28"/>
        <v>1</v>
      </c>
      <c r="F336" s="99">
        <f t="shared" si="29"/>
        <v>-5180000</v>
      </c>
      <c r="G336" s="99"/>
    </row>
    <row r="337" spans="1:13">
      <c r="A337" s="99" t="s">
        <v>5241</v>
      </c>
      <c r="B337" s="113">
        <v>2500000</v>
      </c>
      <c r="C337" s="99">
        <v>0</v>
      </c>
      <c r="D337" s="99">
        <f t="shared" si="27"/>
        <v>184</v>
      </c>
      <c r="E337" s="99">
        <f t="shared" si="28"/>
        <v>0</v>
      </c>
      <c r="F337" s="99">
        <f t="shared" si="29"/>
        <v>460000000</v>
      </c>
      <c r="G337" s="99"/>
    </row>
    <row r="338" spans="1:13">
      <c r="A338" s="99" t="s">
        <v>5241</v>
      </c>
      <c r="B338" s="113">
        <v>-407500</v>
      </c>
      <c r="C338" s="99">
        <v>2</v>
      </c>
      <c r="D338" s="99">
        <f t="shared" si="27"/>
        <v>184</v>
      </c>
      <c r="E338" s="99">
        <f t="shared" si="28"/>
        <v>0</v>
      </c>
      <c r="F338" s="99">
        <f t="shared" si="29"/>
        <v>-74980000</v>
      </c>
      <c r="G338" s="99"/>
    </row>
    <row r="339" spans="1:13">
      <c r="A339" s="99" t="s">
        <v>5243</v>
      </c>
      <c r="B339" s="113">
        <v>-3600</v>
      </c>
      <c r="C339" s="99">
        <v>1</v>
      </c>
      <c r="D339" s="99">
        <f t="shared" si="27"/>
        <v>182</v>
      </c>
      <c r="E339" s="99">
        <f t="shared" si="28"/>
        <v>0</v>
      </c>
      <c r="F339" s="99">
        <f t="shared" si="29"/>
        <v>-655200</v>
      </c>
      <c r="G339" s="99"/>
    </row>
    <row r="340" spans="1:13">
      <c r="A340" s="99" t="s">
        <v>5249</v>
      </c>
      <c r="B340" s="113">
        <v>-170094</v>
      </c>
      <c r="C340" s="99">
        <v>1</v>
      </c>
      <c r="D340" s="99">
        <f t="shared" si="27"/>
        <v>181</v>
      </c>
      <c r="E340" s="99">
        <f t="shared" si="28"/>
        <v>0</v>
      </c>
      <c r="F340" s="99">
        <f t="shared" si="29"/>
        <v>-30787014</v>
      </c>
      <c r="G340" s="99"/>
      <c r="J340" t="s">
        <v>25</v>
      </c>
    </row>
    <row r="341" spans="1:13">
      <c r="A341" s="99" t="s">
        <v>5244</v>
      </c>
      <c r="B341" s="113">
        <v>-51730</v>
      </c>
      <c r="C341" s="99">
        <v>1</v>
      </c>
      <c r="D341" s="99">
        <f t="shared" si="27"/>
        <v>180</v>
      </c>
      <c r="E341" s="99">
        <f t="shared" si="28"/>
        <v>0</v>
      </c>
      <c r="F341" s="99">
        <f t="shared" si="29"/>
        <v>-9311400</v>
      </c>
      <c r="G341" s="99"/>
    </row>
    <row r="342" spans="1:13">
      <c r="A342" s="99" t="s">
        <v>5250</v>
      </c>
      <c r="B342" s="113">
        <v>-200000</v>
      </c>
      <c r="C342" s="99">
        <v>2</v>
      </c>
      <c r="D342" s="99">
        <f t="shared" si="27"/>
        <v>179</v>
      </c>
      <c r="E342" s="99">
        <f t="shared" si="28"/>
        <v>0</v>
      </c>
      <c r="F342" s="99">
        <f t="shared" si="29"/>
        <v>-35800000</v>
      </c>
      <c r="G342" s="99"/>
    </row>
    <row r="343" spans="1:13">
      <c r="A343" s="99" t="s">
        <v>5211</v>
      </c>
      <c r="B343" s="113">
        <v>-3000000</v>
      </c>
      <c r="C343" s="99">
        <v>0</v>
      </c>
      <c r="D343" s="99">
        <f t="shared" si="27"/>
        <v>177</v>
      </c>
      <c r="E343" s="99">
        <f t="shared" si="28"/>
        <v>0</v>
      </c>
      <c r="F343" s="99">
        <f t="shared" si="29"/>
        <v>-531000000</v>
      </c>
      <c r="G343" s="99"/>
    </row>
    <row r="344" spans="1:13">
      <c r="A344" s="99" t="s">
        <v>5211</v>
      </c>
      <c r="B344" s="113">
        <v>-39726</v>
      </c>
      <c r="C344" s="99">
        <v>1</v>
      </c>
      <c r="D344" s="99">
        <f t="shared" si="27"/>
        <v>177</v>
      </c>
      <c r="E344" s="99">
        <f t="shared" si="28"/>
        <v>0</v>
      </c>
      <c r="F344" s="99">
        <f t="shared" si="29"/>
        <v>-7031502</v>
      </c>
      <c r="G344" s="99"/>
      <c r="M344" t="s">
        <v>25</v>
      </c>
    </row>
    <row r="345" spans="1:13">
      <c r="A345" s="99" t="s">
        <v>5252</v>
      </c>
      <c r="B345" s="113">
        <v>-566500</v>
      </c>
      <c r="C345" s="99">
        <v>1</v>
      </c>
      <c r="D345" s="99">
        <f t="shared" si="27"/>
        <v>176</v>
      </c>
      <c r="E345" s="99">
        <f t="shared" si="28"/>
        <v>0</v>
      </c>
      <c r="F345" s="99">
        <f t="shared" si="29"/>
        <v>-99704000</v>
      </c>
      <c r="G345" s="99"/>
      <c r="K345" t="s">
        <v>25</v>
      </c>
    </row>
    <row r="346" spans="1:13">
      <c r="A346" s="99" t="s">
        <v>5253</v>
      </c>
      <c r="B346" s="113">
        <v>-300000</v>
      </c>
      <c r="C346" s="99">
        <v>22</v>
      </c>
      <c r="D346" s="99">
        <f t="shared" si="27"/>
        <v>175</v>
      </c>
      <c r="E346" s="99">
        <f t="shared" si="28"/>
        <v>1</v>
      </c>
      <c r="F346" s="99">
        <f t="shared" si="29"/>
        <v>-52200000</v>
      </c>
      <c r="G346" s="99"/>
      <c r="J346" t="s">
        <v>25</v>
      </c>
    </row>
    <row r="347" spans="1:13">
      <c r="A347" s="99" t="s">
        <v>5276</v>
      </c>
      <c r="B347" s="113">
        <v>700000</v>
      </c>
      <c r="C347" s="99">
        <v>1</v>
      </c>
      <c r="D347" s="99">
        <f t="shared" si="27"/>
        <v>153</v>
      </c>
      <c r="E347" s="99">
        <f t="shared" si="28"/>
        <v>0</v>
      </c>
      <c r="F347" s="99">
        <f t="shared" si="29"/>
        <v>107100000</v>
      </c>
      <c r="G347" s="99"/>
    </row>
    <row r="348" spans="1:13">
      <c r="A348" s="99" t="s">
        <v>5279</v>
      </c>
      <c r="B348" s="113">
        <v>-101000</v>
      </c>
      <c r="C348" s="99">
        <v>1</v>
      </c>
      <c r="D348" s="99">
        <f t="shared" si="27"/>
        <v>152</v>
      </c>
      <c r="E348" s="99">
        <f t="shared" si="28"/>
        <v>0</v>
      </c>
      <c r="F348" s="99">
        <f t="shared" si="29"/>
        <v>-15352000</v>
      </c>
      <c r="G348" s="99"/>
    </row>
    <row r="349" spans="1:13">
      <c r="A349" s="99" t="s">
        <v>5279</v>
      </c>
      <c r="B349" s="113">
        <v>-57245</v>
      </c>
      <c r="C349" s="99">
        <v>1</v>
      </c>
      <c r="D349" s="99">
        <f t="shared" si="27"/>
        <v>151</v>
      </c>
      <c r="E349" s="99">
        <f t="shared" si="28"/>
        <v>0</v>
      </c>
      <c r="F349" s="99">
        <f t="shared" si="29"/>
        <v>-8643995</v>
      </c>
      <c r="G349" s="99"/>
    </row>
    <row r="350" spans="1:13">
      <c r="A350" s="99" t="s">
        <v>5281</v>
      </c>
      <c r="B350" s="113">
        <v>-398700</v>
      </c>
      <c r="C350" s="99">
        <v>2</v>
      </c>
      <c r="D350" s="99">
        <f t="shared" si="27"/>
        <v>150</v>
      </c>
      <c r="E350" s="99">
        <f t="shared" si="28"/>
        <v>0</v>
      </c>
      <c r="F350" s="99">
        <f t="shared" si="29"/>
        <v>-59805000</v>
      </c>
      <c r="G350" s="99"/>
    </row>
    <row r="351" spans="1:13">
      <c r="A351" s="99" t="s">
        <v>5280</v>
      </c>
      <c r="B351" s="113">
        <v>-87010</v>
      </c>
      <c r="C351" s="99">
        <v>5</v>
      </c>
      <c r="D351" s="99">
        <f t="shared" si="27"/>
        <v>148</v>
      </c>
      <c r="E351" s="99">
        <f t="shared" si="28"/>
        <v>0</v>
      </c>
      <c r="F351" s="99">
        <f t="shared" si="29"/>
        <v>-12877480</v>
      </c>
      <c r="G351" s="99"/>
    </row>
    <row r="352" spans="1:13">
      <c r="A352" s="99" t="s">
        <v>5310</v>
      </c>
      <c r="B352" s="113">
        <v>-50000</v>
      </c>
      <c r="C352" s="99">
        <v>28</v>
      </c>
      <c r="D352" s="99">
        <f t="shared" si="27"/>
        <v>143</v>
      </c>
      <c r="E352" s="99">
        <f t="shared" si="28"/>
        <v>1</v>
      </c>
      <c r="F352" s="99">
        <f t="shared" si="29"/>
        <v>-7100000</v>
      </c>
      <c r="G352" s="99"/>
    </row>
    <row r="353" spans="1:12">
      <c r="A353" s="99" t="s">
        <v>5309</v>
      </c>
      <c r="B353" s="113">
        <v>1200000</v>
      </c>
      <c r="C353" s="99">
        <v>0</v>
      </c>
      <c r="D353" s="99">
        <f t="shared" ref="D353:D365" si="30">D354+C353</f>
        <v>115</v>
      </c>
      <c r="E353" s="99">
        <f t="shared" ref="E353:E365" si="31">IF(B354&gt;0,1,0)</f>
        <v>0</v>
      </c>
      <c r="F353" s="99">
        <f t="shared" ref="F353:F365" si="32">B353*(D353-E353)</f>
        <v>138000000</v>
      </c>
      <c r="G353" s="99"/>
    </row>
    <row r="354" spans="1:12">
      <c r="A354" s="99" t="s">
        <v>5309</v>
      </c>
      <c r="B354" s="113">
        <v>-367300</v>
      </c>
      <c r="C354" s="99">
        <v>1</v>
      </c>
      <c r="D354" s="99">
        <f t="shared" si="30"/>
        <v>115</v>
      </c>
      <c r="E354" s="99">
        <f t="shared" si="31"/>
        <v>0</v>
      </c>
      <c r="F354" s="99">
        <f t="shared" si="32"/>
        <v>-42239500</v>
      </c>
      <c r="G354" s="99"/>
    </row>
    <row r="355" spans="1:12">
      <c r="A355" s="99" t="s">
        <v>5311</v>
      </c>
      <c r="B355" s="113">
        <v>-104894</v>
      </c>
      <c r="C355" s="99">
        <v>1</v>
      </c>
      <c r="D355" s="99">
        <f t="shared" si="30"/>
        <v>114</v>
      </c>
      <c r="E355" s="99">
        <f t="shared" si="31"/>
        <v>0</v>
      </c>
      <c r="F355" s="99">
        <f t="shared" si="32"/>
        <v>-11957916</v>
      </c>
      <c r="G355" s="99"/>
    </row>
    <row r="356" spans="1:12">
      <c r="A356" s="99" t="s">
        <v>5312</v>
      </c>
      <c r="B356" s="113">
        <v>-688700</v>
      </c>
      <c r="C356" s="99">
        <v>0</v>
      </c>
      <c r="D356" s="99">
        <f t="shared" si="30"/>
        <v>113</v>
      </c>
      <c r="E356" s="99">
        <f t="shared" si="31"/>
        <v>0</v>
      </c>
      <c r="F356" s="99">
        <f t="shared" si="32"/>
        <v>-77823100</v>
      </c>
      <c r="G356" s="99"/>
    </row>
    <row r="357" spans="1:12">
      <c r="A357" s="99" t="s">
        <v>5312</v>
      </c>
      <c r="B357" s="113">
        <v>-8321</v>
      </c>
      <c r="C357" s="99">
        <v>5</v>
      </c>
      <c r="D357" s="99">
        <f t="shared" si="30"/>
        <v>113</v>
      </c>
      <c r="E357" s="99">
        <f t="shared" si="31"/>
        <v>1</v>
      </c>
      <c r="F357" s="99">
        <f t="shared" si="32"/>
        <v>-931952</v>
      </c>
      <c r="G357" s="99"/>
      <c r="J357" t="s">
        <v>25</v>
      </c>
    </row>
    <row r="358" spans="1:12">
      <c r="A358" s="99" t="s">
        <v>5322</v>
      </c>
      <c r="B358" s="113">
        <v>1000000</v>
      </c>
      <c r="C358" s="99">
        <v>0</v>
      </c>
      <c r="D358" s="99">
        <f t="shared" si="30"/>
        <v>108</v>
      </c>
      <c r="E358" s="99">
        <f t="shared" si="31"/>
        <v>0</v>
      </c>
      <c r="F358" s="99">
        <f t="shared" si="32"/>
        <v>108000000</v>
      </c>
      <c r="G358" s="99"/>
    </row>
    <row r="359" spans="1:12">
      <c r="A359" s="99" t="s">
        <v>5322</v>
      </c>
      <c r="B359" s="113">
        <v>-127644</v>
      </c>
      <c r="C359" s="99">
        <v>1</v>
      </c>
      <c r="D359" s="99">
        <f t="shared" si="30"/>
        <v>108</v>
      </c>
      <c r="E359" s="99">
        <f t="shared" si="31"/>
        <v>0</v>
      </c>
      <c r="F359" s="99">
        <f t="shared" si="32"/>
        <v>-13785552</v>
      </c>
      <c r="G359" s="99"/>
    </row>
    <row r="360" spans="1:12">
      <c r="A360" s="99" t="s">
        <v>5323</v>
      </c>
      <c r="B360" s="113">
        <v>-418000</v>
      </c>
      <c r="C360" s="99">
        <v>4</v>
      </c>
      <c r="D360" s="99">
        <f t="shared" si="30"/>
        <v>107</v>
      </c>
      <c r="E360" s="99">
        <f t="shared" si="31"/>
        <v>0</v>
      </c>
      <c r="F360" s="99">
        <f t="shared" si="32"/>
        <v>-44726000</v>
      </c>
      <c r="G360" s="99"/>
    </row>
    <row r="361" spans="1:12">
      <c r="A361" s="99" t="s">
        <v>5327</v>
      </c>
      <c r="B361" s="113">
        <v>-183136</v>
      </c>
      <c r="C361" s="99">
        <v>2</v>
      </c>
      <c r="D361" s="99">
        <f t="shared" si="30"/>
        <v>103</v>
      </c>
      <c r="E361" s="99">
        <f t="shared" si="31"/>
        <v>0</v>
      </c>
      <c r="F361" s="99">
        <f t="shared" si="32"/>
        <v>-18863008</v>
      </c>
      <c r="G361" s="99"/>
      <c r="L361" t="s">
        <v>25</v>
      </c>
    </row>
    <row r="362" spans="1:12">
      <c r="A362" s="99" t="s">
        <v>5358</v>
      </c>
      <c r="B362" s="113">
        <v>-18600</v>
      </c>
      <c r="C362" s="99">
        <v>2</v>
      </c>
      <c r="D362" s="99">
        <f t="shared" si="30"/>
        <v>101</v>
      </c>
      <c r="E362" s="99">
        <f t="shared" si="31"/>
        <v>0</v>
      </c>
      <c r="F362" s="99">
        <f t="shared" si="32"/>
        <v>-1878600</v>
      </c>
      <c r="G362" s="99"/>
    </row>
    <row r="363" spans="1:12">
      <c r="A363" s="99" t="s">
        <v>5339</v>
      </c>
      <c r="B363" s="113">
        <v>-90000</v>
      </c>
      <c r="C363" s="99">
        <v>1</v>
      </c>
      <c r="D363" s="99">
        <f t="shared" si="30"/>
        <v>99</v>
      </c>
      <c r="E363" s="99">
        <f t="shared" si="31"/>
        <v>0</v>
      </c>
      <c r="F363" s="99">
        <f t="shared" si="32"/>
        <v>-8910000</v>
      </c>
      <c r="G363" s="99"/>
    </row>
    <row r="364" spans="1:12">
      <c r="A364" s="99" t="s">
        <v>5340</v>
      </c>
      <c r="B364" s="113">
        <v>-18600</v>
      </c>
      <c r="C364" s="99">
        <v>1</v>
      </c>
      <c r="D364" s="99">
        <f t="shared" si="30"/>
        <v>98</v>
      </c>
      <c r="E364" s="99">
        <f t="shared" si="31"/>
        <v>0</v>
      </c>
      <c r="F364" s="99">
        <f t="shared" si="32"/>
        <v>-1822800</v>
      </c>
      <c r="G364" s="99"/>
    </row>
    <row r="365" spans="1:12">
      <c r="A365" s="99" t="s">
        <v>976</v>
      </c>
      <c r="B365" s="113">
        <v>-89760</v>
      </c>
      <c r="C365" s="99">
        <v>0</v>
      </c>
      <c r="D365" s="99">
        <f t="shared" si="30"/>
        <v>97</v>
      </c>
      <c r="E365" s="99">
        <f t="shared" si="31"/>
        <v>1</v>
      </c>
      <c r="F365" s="99">
        <f t="shared" si="32"/>
        <v>-8616960</v>
      </c>
      <c r="G365" s="99"/>
      <c r="K365" t="s">
        <v>25</v>
      </c>
    </row>
    <row r="366" spans="1:12">
      <c r="A366" s="99" t="s">
        <v>976</v>
      </c>
      <c r="B366" s="113">
        <v>1600000</v>
      </c>
      <c r="C366" s="99">
        <v>0</v>
      </c>
      <c r="D366" s="99">
        <f t="shared" ref="D366:D377" si="33">D367+C366</f>
        <v>97</v>
      </c>
      <c r="E366" s="99">
        <f t="shared" ref="E366:E377" si="34">IF(B367&gt;0,1,0)</f>
        <v>0</v>
      </c>
      <c r="F366" s="99">
        <f t="shared" ref="F366:F377" si="35">B366*(D366-E366)</f>
        <v>155200000</v>
      </c>
      <c r="G366" s="99"/>
    </row>
    <row r="367" spans="1:12">
      <c r="A367" s="99" t="s">
        <v>976</v>
      </c>
      <c r="B367" s="113">
        <v>-101003</v>
      </c>
      <c r="C367" s="99">
        <v>1</v>
      </c>
      <c r="D367" s="99">
        <f t="shared" si="33"/>
        <v>97</v>
      </c>
      <c r="E367" s="99">
        <f t="shared" si="34"/>
        <v>1</v>
      </c>
      <c r="F367" s="99">
        <f t="shared" si="35"/>
        <v>-9696288</v>
      </c>
      <c r="G367" s="99"/>
    </row>
    <row r="368" spans="1:12">
      <c r="A368" s="99" t="s">
        <v>5343</v>
      </c>
      <c r="B368" s="113">
        <v>3500000</v>
      </c>
      <c r="C368" s="99">
        <v>3</v>
      </c>
      <c r="D368" s="99">
        <f t="shared" si="33"/>
        <v>96</v>
      </c>
      <c r="E368" s="99">
        <f t="shared" si="34"/>
        <v>0</v>
      </c>
      <c r="F368" s="99">
        <f t="shared" si="35"/>
        <v>336000000</v>
      </c>
      <c r="G368" s="99"/>
    </row>
    <row r="369" spans="1:11">
      <c r="A369" s="99" t="s">
        <v>5346</v>
      </c>
      <c r="B369" s="113">
        <v>-93800</v>
      </c>
      <c r="C369" s="99">
        <v>1</v>
      </c>
      <c r="D369" s="99">
        <f t="shared" si="33"/>
        <v>93</v>
      </c>
      <c r="E369" s="99">
        <f t="shared" si="34"/>
        <v>0</v>
      </c>
      <c r="F369" s="99">
        <f t="shared" si="35"/>
        <v>-8723400</v>
      </c>
      <c r="G369" s="99"/>
    </row>
    <row r="370" spans="1:11">
      <c r="A370" s="99" t="s">
        <v>5348</v>
      </c>
      <c r="B370" s="113">
        <v>-815500</v>
      </c>
      <c r="C370" s="99">
        <v>1</v>
      </c>
      <c r="D370" s="99">
        <f t="shared" si="33"/>
        <v>92</v>
      </c>
      <c r="E370" s="99">
        <f t="shared" si="34"/>
        <v>0</v>
      </c>
      <c r="F370" s="99">
        <f t="shared" si="35"/>
        <v>-75026000</v>
      </c>
      <c r="G370" s="99"/>
    </row>
    <row r="371" spans="1:11">
      <c r="A371" s="99" t="s">
        <v>5351</v>
      </c>
      <c r="B371" s="113">
        <v>-2096840</v>
      </c>
      <c r="C371" s="99">
        <v>0</v>
      </c>
      <c r="D371" s="99">
        <f t="shared" si="33"/>
        <v>91</v>
      </c>
      <c r="E371" s="99">
        <f t="shared" si="34"/>
        <v>1</v>
      </c>
      <c r="F371" s="99">
        <f t="shared" si="35"/>
        <v>-188715600</v>
      </c>
      <c r="G371" s="99"/>
    </row>
    <row r="372" spans="1:11">
      <c r="A372" s="99" t="s">
        <v>5351</v>
      </c>
      <c r="B372" s="113">
        <v>533</v>
      </c>
      <c r="C372" s="99">
        <v>1</v>
      </c>
      <c r="D372" s="99">
        <f t="shared" si="33"/>
        <v>91</v>
      </c>
      <c r="E372" s="99">
        <f t="shared" si="34"/>
        <v>1</v>
      </c>
      <c r="F372" s="99">
        <f t="shared" si="35"/>
        <v>47970</v>
      </c>
      <c r="G372" s="99"/>
      <c r="J372" t="s">
        <v>25</v>
      </c>
    </row>
    <row r="373" spans="1:11">
      <c r="A373" s="99" t="s">
        <v>5354</v>
      </c>
      <c r="B373" s="113">
        <v>4100000</v>
      </c>
      <c r="C373" s="99">
        <v>1</v>
      </c>
      <c r="D373" s="99">
        <f t="shared" si="33"/>
        <v>90</v>
      </c>
      <c r="E373" s="99">
        <f t="shared" si="34"/>
        <v>0</v>
      </c>
      <c r="F373" s="99">
        <f t="shared" si="35"/>
        <v>369000000</v>
      </c>
      <c r="G373" s="99"/>
    </row>
    <row r="374" spans="1:11">
      <c r="A374" s="99" t="s">
        <v>5359</v>
      </c>
      <c r="B374" s="113">
        <v>-3642549</v>
      </c>
      <c r="C374" s="99">
        <v>3</v>
      </c>
      <c r="D374" s="99">
        <f t="shared" si="33"/>
        <v>89</v>
      </c>
      <c r="E374" s="99">
        <f t="shared" si="34"/>
        <v>0</v>
      </c>
      <c r="F374" s="99">
        <f t="shared" si="35"/>
        <v>-324186861</v>
      </c>
      <c r="G374" s="99"/>
    </row>
    <row r="375" spans="1:11">
      <c r="A375" s="99" t="s">
        <v>5370</v>
      </c>
      <c r="B375" s="113">
        <v>-317091</v>
      </c>
      <c r="C375" s="99">
        <v>1</v>
      </c>
      <c r="D375" s="99">
        <f t="shared" si="33"/>
        <v>86</v>
      </c>
      <c r="E375" s="99">
        <f t="shared" si="34"/>
        <v>0</v>
      </c>
      <c r="F375" s="99">
        <f t="shared" si="35"/>
        <v>-27269826</v>
      </c>
      <c r="G375" s="99"/>
    </row>
    <row r="376" spans="1:11">
      <c r="A376" s="99" t="s">
        <v>5362</v>
      </c>
      <c r="B376" s="113">
        <v>-1600000</v>
      </c>
      <c r="C376" s="99">
        <v>1</v>
      </c>
      <c r="D376" s="99">
        <f t="shared" si="33"/>
        <v>85</v>
      </c>
      <c r="E376" s="99">
        <f t="shared" si="34"/>
        <v>0</v>
      </c>
      <c r="F376" s="99">
        <f t="shared" si="35"/>
        <v>-136000000</v>
      </c>
      <c r="G376" s="99"/>
    </row>
    <row r="377" spans="1:11">
      <c r="A377" s="99" t="s">
        <v>5365</v>
      </c>
      <c r="B377" s="113">
        <v>-148200</v>
      </c>
      <c r="C377" s="99">
        <v>1</v>
      </c>
      <c r="D377" s="99">
        <f t="shared" si="33"/>
        <v>84</v>
      </c>
      <c r="E377" s="99">
        <f t="shared" si="34"/>
        <v>0</v>
      </c>
      <c r="F377" s="99">
        <f t="shared" si="35"/>
        <v>-12448800</v>
      </c>
      <c r="G377" s="99"/>
    </row>
    <row r="378" spans="1:11">
      <c r="A378" s="99" t="s">
        <v>995</v>
      </c>
      <c r="B378" s="113">
        <v>-472401</v>
      </c>
      <c r="C378" s="99">
        <v>22</v>
      </c>
      <c r="D378" s="99">
        <f t="shared" ref="D378:D420" si="36">D379+C378</f>
        <v>83</v>
      </c>
      <c r="E378" s="99">
        <f t="shared" ref="E378:E420" si="37">IF(B379&gt;0,1,0)</f>
        <v>1</v>
      </c>
      <c r="F378" s="99">
        <f t="shared" ref="F378:F420" si="38">B378*(D378-E378)</f>
        <v>-38736882</v>
      </c>
      <c r="G378" s="99"/>
      <c r="K378" t="s">
        <v>25</v>
      </c>
    </row>
    <row r="379" spans="1:11">
      <c r="A379" s="99" t="s">
        <v>5446</v>
      </c>
      <c r="B379" s="113">
        <v>10000000</v>
      </c>
      <c r="C379" s="99">
        <v>0</v>
      </c>
      <c r="D379" s="99">
        <f t="shared" si="36"/>
        <v>61</v>
      </c>
      <c r="E379" s="99">
        <f t="shared" si="37"/>
        <v>0</v>
      </c>
      <c r="F379" s="99">
        <f t="shared" si="38"/>
        <v>610000000</v>
      </c>
      <c r="G379" s="99"/>
    </row>
    <row r="380" spans="1:11">
      <c r="A380" s="99" t="s">
        <v>5446</v>
      </c>
      <c r="B380" s="113">
        <v>-3000000</v>
      </c>
      <c r="C380" s="99">
        <v>0</v>
      </c>
      <c r="D380" s="99">
        <f t="shared" si="36"/>
        <v>61</v>
      </c>
      <c r="E380" s="99">
        <f t="shared" si="37"/>
        <v>0</v>
      </c>
      <c r="F380" s="99">
        <f t="shared" si="38"/>
        <v>-183000000</v>
      </c>
      <c r="G380" s="99"/>
    </row>
    <row r="381" spans="1:11">
      <c r="A381" s="99" t="s">
        <v>5446</v>
      </c>
      <c r="B381" s="113">
        <v>-3971300</v>
      </c>
      <c r="C381" s="99">
        <v>7</v>
      </c>
      <c r="D381" s="99">
        <f t="shared" si="36"/>
        <v>61</v>
      </c>
      <c r="E381" s="99">
        <f t="shared" si="37"/>
        <v>0</v>
      </c>
      <c r="F381" s="99">
        <f t="shared" si="38"/>
        <v>-242249300</v>
      </c>
      <c r="G381" s="99"/>
    </row>
    <row r="382" spans="1:11">
      <c r="A382" s="99" t="s">
        <v>5467</v>
      </c>
      <c r="B382" s="113">
        <v>-2472422</v>
      </c>
      <c r="C382" s="99">
        <v>2</v>
      </c>
      <c r="D382" s="99">
        <f t="shared" si="36"/>
        <v>54</v>
      </c>
      <c r="E382" s="99">
        <f t="shared" si="37"/>
        <v>0</v>
      </c>
      <c r="F382" s="99">
        <f t="shared" si="38"/>
        <v>-133510788</v>
      </c>
      <c r="G382" s="99"/>
    </row>
    <row r="383" spans="1:11">
      <c r="A383" s="99" t="s">
        <v>5496</v>
      </c>
      <c r="B383" s="113">
        <v>-345000</v>
      </c>
      <c r="C383" s="99">
        <v>1</v>
      </c>
      <c r="D383" s="99">
        <f t="shared" si="36"/>
        <v>52</v>
      </c>
      <c r="E383" s="99">
        <f t="shared" si="37"/>
        <v>0</v>
      </c>
      <c r="F383" s="99">
        <f t="shared" si="38"/>
        <v>-17940000</v>
      </c>
      <c r="G383" s="99"/>
    </row>
    <row r="384" spans="1:11">
      <c r="A384" s="99" t="s">
        <v>5497</v>
      </c>
      <c r="B384" s="113">
        <v>-200000</v>
      </c>
      <c r="C384" s="99">
        <v>10</v>
      </c>
      <c r="D384" s="99">
        <f t="shared" si="36"/>
        <v>51</v>
      </c>
      <c r="E384" s="99">
        <f t="shared" si="37"/>
        <v>1</v>
      </c>
      <c r="F384" s="99">
        <f t="shared" si="38"/>
        <v>-10000000</v>
      </c>
      <c r="G384" s="99"/>
    </row>
    <row r="385" spans="1:10">
      <c r="A385" s="99" t="s">
        <v>5492</v>
      </c>
      <c r="B385" s="113">
        <v>800000</v>
      </c>
      <c r="C385" s="99">
        <v>0</v>
      </c>
      <c r="D385" s="99">
        <f t="shared" si="36"/>
        <v>41</v>
      </c>
      <c r="E385" s="99">
        <f t="shared" si="37"/>
        <v>0</v>
      </c>
      <c r="F385" s="99">
        <f t="shared" si="38"/>
        <v>32800000</v>
      </c>
      <c r="G385" s="99"/>
    </row>
    <row r="386" spans="1:10">
      <c r="A386" s="99" t="s">
        <v>5492</v>
      </c>
      <c r="B386" s="113">
        <v>-116941</v>
      </c>
      <c r="C386" s="99">
        <v>1</v>
      </c>
      <c r="D386" s="99">
        <f t="shared" si="36"/>
        <v>41</v>
      </c>
      <c r="E386" s="99">
        <f t="shared" si="37"/>
        <v>0</v>
      </c>
      <c r="F386" s="99">
        <f t="shared" si="38"/>
        <v>-4794581</v>
      </c>
      <c r="G386" s="99"/>
    </row>
    <row r="387" spans="1:10">
      <c r="A387" s="99" t="s">
        <v>999</v>
      </c>
      <c r="B387" s="113">
        <v>-400000</v>
      </c>
      <c r="C387" s="99">
        <v>0</v>
      </c>
      <c r="D387" s="99">
        <f t="shared" si="36"/>
        <v>40</v>
      </c>
      <c r="E387" s="99">
        <f t="shared" si="37"/>
        <v>1</v>
      </c>
      <c r="F387" s="99">
        <f t="shared" si="38"/>
        <v>-15600000</v>
      </c>
      <c r="G387" s="99"/>
    </row>
    <row r="388" spans="1:10">
      <c r="A388" s="99" t="s">
        <v>999</v>
      </c>
      <c r="B388" s="113">
        <v>12000000</v>
      </c>
      <c r="C388" s="99">
        <v>1</v>
      </c>
      <c r="D388" s="99">
        <f t="shared" si="36"/>
        <v>40</v>
      </c>
      <c r="E388" s="99">
        <f t="shared" si="37"/>
        <v>1</v>
      </c>
      <c r="F388" s="99">
        <f t="shared" si="38"/>
        <v>468000000</v>
      </c>
      <c r="G388" s="99"/>
    </row>
    <row r="389" spans="1:10">
      <c r="A389" s="99" t="s">
        <v>5498</v>
      </c>
      <c r="B389" s="113">
        <v>8000000</v>
      </c>
      <c r="C389" s="99">
        <v>1</v>
      </c>
      <c r="D389" s="99">
        <f t="shared" si="36"/>
        <v>39</v>
      </c>
      <c r="E389" s="99">
        <f t="shared" si="37"/>
        <v>0</v>
      </c>
      <c r="F389" s="99">
        <f t="shared" si="38"/>
        <v>312000000</v>
      </c>
      <c r="G389" s="99"/>
    </row>
    <row r="390" spans="1:10">
      <c r="A390" s="99" t="s">
        <v>5499</v>
      </c>
      <c r="B390" s="113">
        <v>-10000</v>
      </c>
      <c r="C390" s="99">
        <v>1</v>
      </c>
      <c r="D390" s="99">
        <f t="shared" si="36"/>
        <v>38</v>
      </c>
      <c r="E390" s="99">
        <f t="shared" si="37"/>
        <v>0</v>
      </c>
      <c r="F390" s="99">
        <f t="shared" si="38"/>
        <v>-380000</v>
      </c>
      <c r="G390" s="99"/>
    </row>
    <row r="391" spans="1:10">
      <c r="A391" s="99" t="s">
        <v>5500</v>
      </c>
      <c r="B391" s="113">
        <v>-88000</v>
      </c>
      <c r="C391" s="99">
        <v>1</v>
      </c>
      <c r="D391" s="99">
        <f t="shared" si="36"/>
        <v>37</v>
      </c>
      <c r="E391" s="99">
        <f t="shared" si="37"/>
        <v>0</v>
      </c>
      <c r="F391" s="99">
        <f t="shared" si="38"/>
        <v>-3256000</v>
      </c>
      <c r="G391" s="99"/>
    </row>
    <row r="392" spans="1:10">
      <c r="A392" s="99" t="s">
        <v>5501</v>
      </c>
      <c r="B392" s="113">
        <v>-297675</v>
      </c>
      <c r="C392" s="99">
        <v>3</v>
      </c>
      <c r="D392" s="99">
        <f t="shared" si="36"/>
        <v>36</v>
      </c>
      <c r="E392" s="99">
        <f t="shared" si="37"/>
        <v>0</v>
      </c>
      <c r="F392" s="99">
        <f t="shared" si="38"/>
        <v>-10716300</v>
      </c>
      <c r="G392" s="99"/>
    </row>
    <row r="393" spans="1:10">
      <c r="A393" s="99" t="s">
        <v>5493</v>
      </c>
      <c r="B393" s="113">
        <v>-10114121</v>
      </c>
      <c r="C393" s="99">
        <v>1</v>
      </c>
      <c r="D393" s="99">
        <f t="shared" si="36"/>
        <v>33</v>
      </c>
      <c r="E393" s="99">
        <f t="shared" si="37"/>
        <v>0</v>
      </c>
      <c r="F393" s="99">
        <f t="shared" si="38"/>
        <v>-333765993</v>
      </c>
      <c r="G393" s="99"/>
    </row>
    <row r="394" spans="1:10">
      <c r="A394" s="99" t="s">
        <v>5494</v>
      </c>
      <c r="B394" s="113">
        <v>-9000000</v>
      </c>
      <c r="C394" s="99">
        <v>1</v>
      </c>
      <c r="D394" s="99">
        <f t="shared" si="36"/>
        <v>32</v>
      </c>
      <c r="E394" s="99">
        <f t="shared" si="37"/>
        <v>0</v>
      </c>
      <c r="F394" s="99">
        <f t="shared" si="38"/>
        <v>-288000000</v>
      </c>
      <c r="G394" s="99"/>
      <c r="J394" s="114">
        <f>B422-743653+21500</f>
        <v>-454534</v>
      </c>
    </row>
    <row r="395" spans="1:10">
      <c r="A395" s="99" t="s">
        <v>5502</v>
      </c>
      <c r="B395" s="113">
        <v>-83930</v>
      </c>
      <c r="C395" s="99">
        <v>1</v>
      </c>
      <c r="D395" s="99">
        <f t="shared" si="36"/>
        <v>31</v>
      </c>
      <c r="E395" s="99">
        <f t="shared" si="37"/>
        <v>0</v>
      </c>
      <c r="F395" s="99">
        <f t="shared" si="38"/>
        <v>-2601830</v>
      </c>
      <c r="G395" s="99"/>
    </row>
    <row r="396" spans="1:10">
      <c r="A396" s="99" t="s">
        <v>5503</v>
      </c>
      <c r="B396" s="113">
        <v>-19520</v>
      </c>
      <c r="C396" s="99">
        <v>0</v>
      </c>
      <c r="D396" s="99">
        <f t="shared" si="36"/>
        <v>30</v>
      </c>
      <c r="E396" s="99">
        <f t="shared" si="37"/>
        <v>0</v>
      </c>
      <c r="F396" s="99">
        <f t="shared" si="38"/>
        <v>-585600</v>
      </c>
      <c r="G396" s="99"/>
    </row>
    <row r="397" spans="1:10">
      <c r="A397" s="99" t="s">
        <v>5503</v>
      </c>
      <c r="B397" s="113">
        <v>-676034</v>
      </c>
      <c r="C397" s="99">
        <v>27</v>
      </c>
      <c r="D397" s="99">
        <f t="shared" si="36"/>
        <v>30</v>
      </c>
      <c r="E397" s="99">
        <f t="shared" si="37"/>
        <v>1</v>
      </c>
      <c r="F397" s="99">
        <f t="shared" si="38"/>
        <v>-19604986</v>
      </c>
      <c r="G397" s="99"/>
    </row>
    <row r="398" spans="1:10">
      <c r="A398" s="99" t="s">
        <v>5561</v>
      </c>
      <c r="B398" s="113">
        <v>2200000</v>
      </c>
      <c r="C398" s="99">
        <v>2</v>
      </c>
      <c r="D398" s="99">
        <f t="shared" si="36"/>
        <v>3</v>
      </c>
      <c r="E398" s="99">
        <f t="shared" si="37"/>
        <v>0</v>
      </c>
      <c r="F398" s="99">
        <f t="shared" si="38"/>
        <v>6600000</v>
      </c>
      <c r="G398" s="99"/>
    </row>
    <row r="399" spans="1:10">
      <c r="A399" s="99" t="s">
        <v>5567</v>
      </c>
      <c r="B399" s="113">
        <v>-2000000</v>
      </c>
      <c r="C399" s="99">
        <v>1</v>
      </c>
      <c r="D399" s="99">
        <f t="shared" si="36"/>
        <v>1</v>
      </c>
      <c r="E399" s="99">
        <f t="shared" si="37"/>
        <v>0</v>
      </c>
      <c r="F399" s="99">
        <f t="shared" si="38"/>
        <v>-2000000</v>
      </c>
      <c r="G399" s="99"/>
    </row>
    <row r="400" spans="1:10">
      <c r="A400" s="99"/>
      <c r="B400" s="113"/>
      <c r="C400" s="99"/>
      <c r="D400" s="99">
        <f t="shared" si="36"/>
        <v>0</v>
      </c>
      <c r="E400" s="99">
        <f t="shared" si="37"/>
        <v>0</v>
      </c>
      <c r="F400" s="99">
        <f t="shared" si="38"/>
        <v>0</v>
      </c>
      <c r="G400" s="99"/>
    </row>
    <row r="401" spans="1:15">
      <c r="A401" s="99"/>
      <c r="B401" s="113"/>
      <c r="C401" s="99"/>
      <c r="D401" s="99">
        <f t="shared" si="36"/>
        <v>0</v>
      </c>
      <c r="E401" s="99">
        <f t="shared" si="37"/>
        <v>0</v>
      </c>
      <c r="F401" s="99">
        <f t="shared" si="38"/>
        <v>0</v>
      </c>
      <c r="G401" s="99"/>
    </row>
    <row r="402" spans="1:15">
      <c r="A402" s="99" t="s">
        <v>25</v>
      </c>
      <c r="B402" s="113"/>
      <c r="C402" s="99"/>
      <c r="D402" s="99">
        <f t="shared" si="36"/>
        <v>0</v>
      </c>
      <c r="E402" s="99">
        <f t="shared" si="37"/>
        <v>0</v>
      </c>
      <c r="F402" s="99">
        <f t="shared" si="38"/>
        <v>0</v>
      </c>
      <c r="G402" s="99"/>
    </row>
    <row r="403" spans="1:15">
      <c r="A403" s="99"/>
      <c r="B403" s="113"/>
      <c r="C403" s="99"/>
      <c r="D403" s="99">
        <f t="shared" si="36"/>
        <v>0</v>
      </c>
      <c r="E403" s="99">
        <f t="shared" si="37"/>
        <v>0</v>
      </c>
      <c r="F403" s="99">
        <f t="shared" si="38"/>
        <v>0</v>
      </c>
      <c r="G403" s="99"/>
    </row>
    <row r="404" spans="1:15">
      <c r="A404" s="99"/>
      <c r="B404" s="113"/>
      <c r="C404" s="99"/>
      <c r="D404" s="99">
        <f t="shared" si="36"/>
        <v>0</v>
      </c>
      <c r="E404" s="99">
        <f t="shared" si="37"/>
        <v>0</v>
      </c>
      <c r="F404" s="99">
        <f t="shared" si="38"/>
        <v>0</v>
      </c>
      <c r="G404" s="99"/>
    </row>
    <row r="405" spans="1:15">
      <c r="A405" s="99"/>
      <c r="B405" s="113"/>
      <c r="C405" s="99"/>
      <c r="D405" s="99">
        <f t="shared" si="36"/>
        <v>0</v>
      </c>
      <c r="E405" s="99">
        <f t="shared" si="37"/>
        <v>0</v>
      </c>
      <c r="F405" s="99">
        <f t="shared" si="38"/>
        <v>0</v>
      </c>
      <c r="G405" s="99"/>
    </row>
    <row r="406" spans="1:15">
      <c r="A406" s="99"/>
      <c r="B406" s="113"/>
      <c r="C406" s="99"/>
      <c r="D406" s="99">
        <f t="shared" si="36"/>
        <v>0</v>
      </c>
      <c r="E406" s="99">
        <f t="shared" si="37"/>
        <v>0</v>
      </c>
      <c r="F406" s="99">
        <f t="shared" si="38"/>
        <v>0</v>
      </c>
      <c r="G406" s="99"/>
    </row>
    <row r="407" spans="1:15">
      <c r="A407" s="99"/>
      <c r="B407" s="113"/>
      <c r="C407" s="99"/>
      <c r="D407" s="99">
        <f t="shared" si="36"/>
        <v>0</v>
      </c>
      <c r="E407" s="99">
        <f t="shared" si="37"/>
        <v>0</v>
      </c>
      <c r="F407" s="99">
        <f t="shared" si="38"/>
        <v>0</v>
      </c>
      <c r="G407" s="99"/>
      <c r="O407" t="s">
        <v>25</v>
      </c>
    </row>
    <row r="408" spans="1:15">
      <c r="A408" s="99"/>
      <c r="B408" s="113"/>
      <c r="C408" s="99"/>
      <c r="D408" s="99">
        <f t="shared" si="36"/>
        <v>0</v>
      </c>
      <c r="E408" s="99">
        <f t="shared" si="37"/>
        <v>0</v>
      </c>
      <c r="F408" s="99">
        <f t="shared" si="38"/>
        <v>0</v>
      </c>
      <c r="G408" s="99"/>
    </row>
    <row r="409" spans="1:15">
      <c r="A409" s="99"/>
      <c r="B409" s="113"/>
      <c r="C409" s="99"/>
      <c r="D409" s="99">
        <f t="shared" si="36"/>
        <v>0</v>
      </c>
      <c r="E409" s="99">
        <f t="shared" si="37"/>
        <v>0</v>
      </c>
      <c r="F409" s="99">
        <f t="shared" si="38"/>
        <v>0</v>
      </c>
      <c r="G409" s="99"/>
    </row>
    <row r="410" spans="1:15">
      <c r="A410" s="99"/>
      <c r="B410" s="113"/>
      <c r="C410" s="99"/>
      <c r="D410" s="99">
        <f t="shared" si="36"/>
        <v>0</v>
      </c>
      <c r="E410" s="99">
        <f t="shared" si="37"/>
        <v>0</v>
      </c>
      <c r="F410" s="99">
        <f t="shared" si="38"/>
        <v>0</v>
      </c>
      <c r="G410" s="99"/>
    </row>
    <row r="411" spans="1:15">
      <c r="A411" s="99"/>
      <c r="B411" s="113"/>
      <c r="C411" s="99"/>
      <c r="D411" s="99">
        <f t="shared" si="36"/>
        <v>0</v>
      </c>
      <c r="E411" s="99">
        <f t="shared" si="37"/>
        <v>0</v>
      </c>
      <c r="F411" s="99">
        <f t="shared" si="38"/>
        <v>0</v>
      </c>
      <c r="G411" s="99"/>
    </row>
    <row r="412" spans="1:15">
      <c r="A412" s="99"/>
      <c r="B412" s="113"/>
      <c r="C412" s="99"/>
      <c r="D412" s="99">
        <f t="shared" si="36"/>
        <v>0</v>
      </c>
      <c r="E412" s="99">
        <f t="shared" si="37"/>
        <v>0</v>
      </c>
      <c r="F412" s="99">
        <f t="shared" si="38"/>
        <v>0</v>
      </c>
      <c r="G412" s="99"/>
    </row>
    <row r="413" spans="1:15">
      <c r="A413" s="99"/>
      <c r="B413" s="113"/>
      <c r="C413" s="99"/>
      <c r="D413" s="99">
        <f t="shared" si="36"/>
        <v>0</v>
      </c>
      <c r="E413" s="99">
        <f t="shared" si="37"/>
        <v>0</v>
      </c>
      <c r="F413" s="99">
        <f t="shared" si="38"/>
        <v>0</v>
      </c>
      <c r="G413" s="99"/>
    </row>
    <row r="414" spans="1:15">
      <c r="A414" s="99"/>
      <c r="B414" s="113"/>
      <c r="C414" s="99"/>
      <c r="D414" s="99">
        <f t="shared" si="36"/>
        <v>0</v>
      </c>
      <c r="E414" s="99">
        <f t="shared" si="37"/>
        <v>0</v>
      </c>
      <c r="F414" s="99">
        <f t="shared" si="38"/>
        <v>0</v>
      </c>
      <c r="G414" s="99"/>
    </row>
    <row r="415" spans="1:15">
      <c r="A415" s="99"/>
      <c r="B415" s="113"/>
      <c r="C415" s="99"/>
      <c r="D415" s="99">
        <f t="shared" si="36"/>
        <v>0</v>
      </c>
      <c r="E415" s="99">
        <f t="shared" si="37"/>
        <v>0</v>
      </c>
      <c r="F415" s="99">
        <f t="shared" si="38"/>
        <v>0</v>
      </c>
      <c r="G415" s="99"/>
    </row>
    <row r="416" spans="1:15">
      <c r="A416" s="99"/>
      <c r="B416" s="113"/>
      <c r="C416" s="99"/>
      <c r="D416" s="99">
        <f t="shared" si="36"/>
        <v>0</v>
      </c>
      <c r="E416" s="99">
        <f t="shared" si="37"/>
        <v>0</v>
      </c>
      <c r="F416" s="99">
        <f t="shared" si="38"/>
        <v>0</v>
      </c>
      <c r="G416" s="99"/>
    </row>
    <row r="417" spans="1:7">
      <c r="A417" s="99"/>
      <c r="B417" s="113"/>
      <c r="C417" s="99"/>
      <c r="D417" s="99">
        <f t="shared" si="36"/>
        <v>0</v>
      </c>
      <c r="E417" s="99">
        <f t="shared" si="37"/>
        <v>0</v>
      </c>
      <c r="F417" s="99">
        <f t="shared" si="38"/>
        <v>0</v>
      </c>
      <c r="G417" s="99" t="s">
        <v>25</v>
      </c>
    </row>
    <row r="418" spans="1:7">
      <c r="A418" s="99"/>
      <c r="B418" s="113"/>
      <c r="C418" s="99"/>
      <c r="D418" s="99">
        <f t="shared" si="36"/>
        <v>0</v>
      </c>
      <c r="E418" s="99">
        <f t="shared" si="37"/>
        <v>0</v>
      </c>
      <c r="F418" s="99">
        <f t="shared" si="38"/>
        <v>0</v>
      </c>
      <c r="G418" s="99"/>
    </row>
    <row r="419" spans="1:7">
      <c r="A419" s="99"/>
      <c r="B419" s="113"/>
      <c r="C419" s="99"/>
      <c r="D419" s="99">
        <f t="shared" si="36"/>
        <v>0</v>
      </c>
      <c r="E419" s="99">
        <f t="shared" si="37"/>
        <v>0</v>
      </c>
      <c r="F419" s="99">
        <f t="shared" si="38"/>
        <v>0</v>
      </c>
      <c r="G419" s="99"/>
    </row>
    <row r="420" spans="1:7">
      <c r="A420" s="11"/>
      <c r="B420" s="3">
        <v>0</v>
      </c>
      <c r="C420" s="11">
        <v>0</v>
      </c>
      <c r="D420" s="99">
        <f t="shared" si="36"/>
        <v>0</v>
      </c>
      <c r="E420" s="99">
        <f t="shared" si="37"/>
        <v>0</v>
      </c>
      <c r="F420" s="99">
        <f t="shared" si="38"/>
        <v>0</v>
      </c>
      <c r="G420" s="99"/>
    </row>
    <row r="421" spans="1:7">
      <c r="A421" s="11"/>
      <c r="B421" s="3"/>
      <c r="C421" s="11"/>
      <c r="D421" s="99"/>
      <c r="E421" s="99"/>
      <c r="F421" s="99"/>
      <c r="G421" s="11" t="s">
        <v>25</v>
      </c>
    </row>
    <row r="422" spans="1:7">
      <c r="A422" s="11"/>
      <c r="B422" s="29">
        <f>SUM(B2:B420)</f>
        <v>267619</v>
      </c>
      <c r="C422" s="11"/>
      <c r="D422" s="11"/>
      <c r="E422" s="11"/>
      <c r="F422" s="29">
        <f>SUM(F2:F420)</f>
        <v>19222740334</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13489642.339649122</v>
      </c>
      <c r="G425" s="11"/>
    </row>
    <row r="426" spans="1:7">
      <c r="A426" s="11"/>
      <c r="B426" s="11"/>
      <c r="C426" s="11"/>
      <c r="D426" s="11"/>
      <c r="E426" s="11"/>
      <c r="F426" s="11" t="s">
        <v>286</v>
      </c>
      <c r="G426" s="11"/>
    </row>
    <row r="428" spans="1:7">
      <c r="B428" s="114">
        <f>B422-2267619</f>
        <v>-2000000</v>
      </c>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4715</v>
      </c>
      <c r="L15">
        <v>451474</v>
      </c>
      <c r="M15" s="242" t="s">
        <v>4865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4346</v>
      </c>
      <c r="L21" s="33" t="s">
        <v>4348</v>
      </c>
      <c r="M21" s="96" t="s">
        <v>4347</v>
      </c>
      <c r="N21" s="187" t="s">
        <v>4349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4313</v>
      </c>
      <c r="L23">
        <v>9149046982</v>
      </c>
      <c r="M23" t="s">
        <v>4314</v>
      </c>
      <c r="N23" t="s">
        <v>4315</v>
      </c>
      <c r="O23" t="s">
        <v>4316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5090</v>
      </c>
      <c r="L33" t="s">
        <v>5091</v>
      </c>
      <c r="M33" t="s">
        <v>5092</v>
      </c>
      <c r="N33" t="s">
        <v>5093</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5095</v>
      </c>
      <c r="M34" t="s">
        <v>5096</v>
      </c>
      <c r="N34" t="s">
        <v>5094</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4556</v>
      </c>
      <c r="B192" s="38">
        <v>100000</v>
      </c>
      <c r="C192" s="73" t="s">
        <v>3887</v>
      </c>
      <c r="D192" s="99">
        <v>87</v>
      </c>
      <c r="E192" s="99">
        <f t="shared" si="9"/>
        <v>88</v>
      </c>
      <c r="F192" s="99">
        <f t="shared" si="5"/>
        <v>1</v>
      </c>
      <c r="G192" s="99">
        <f t="shared" si="4"/>
        <v>8700000</v>
      </c>
    </row>
    <row r="193" spans="1:7">
      <c r="A193" s="11" t="s">
        <v>4820</v>
      </c>
      <c r="B193" s="38">
        <v>-25000</v>
      </c>
      <c r="C193" s="11" t="s">
        <v>4827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16"/>
  <sheetViews>
    <sheetView topLeftCell="R140" zoomScale="85" zoomScaleNormal="85" workbookViewId="0">
      <selection activeCell="Z153" sqref="Z153"/>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5083</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c r="Q14" s="168" t="s">
        <v>4353</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267619</v>
      </c>
      <c r="M16" s="168" t="s">
        <v>750</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4283</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c r="P19" s="96"/>
      <c r="Q19" s="168" t="s">
        <v>267</v>
      </c>
      <c r="R19" s="168" t="s">
        <v>180</v>
      </c>
      <c r="S19" s="168" t="s">
        <v>183</v>
      </c>
      <c r="T19" s="168" t="s">
        <v>8</v>
      </c>
      <c r="U19" s="168" t="s">
        <v>4352</v>
      </c>
      <c r="V19" s="73" t="s">
        <v>4354</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4442</v>
      </c>
      <c r="N20" s="113">
        <v>5031862</v>
      </c>
      <c r="O20" s="99" t="s">
        <v>934</v>
      </c>
      <c r="P20" s="99" t="s">
        <v>3925</v>
      </c>
      <c r="Q20" s="169">
        <v>9268987</v>
      </c>
      <c r="R20" s="168" t="s">
        <v>4166</v>
      </c>
      <c r="S20" s="191">
        <f>S84</f>
        <v>584</v>
      </c>
      <c r="T20" s="168" t="s">
        <v>4299</v>
      </c>
      <c r="U20" s="168">
        <v>192.1</v>
      </c>
      <c r="V20" s="168">
        <f t="shared" ref="V20:V46" si="6">U20*(1+$R$80+$Q$15*S20/36500)</f>
        <v>281.08071999999999</v>
      </c>
      <c r="W20" s="32">
        <f t="shared" ref="W20:W26" si="7">V20*(1+$W$19/100)</f>
        <v>286.70233439999998</v>
      </c>
      <c r="X20" s="32">
        <f t="shared" ref="X20:X26" si="8">V20*(1+$X$19/100)</f>
        <v>292.32394879999998</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4454</v>
      </c>
      <c r="L21" s="117">
        <f>-N30</f>
        <v>3051502210.3971238</v>
      </c>
      <c r="M21" s="168" t="s">
        <v>4291</v>
      </c>
      <c r="N21" s="113">
        <f t="shared" ref="N21:N23" si="9">O21*P21</f>
        <v>1116374777.6000001</v>
      </c>
      <c r="O21" s="99">
        <v>1068608</v>
      </c>
      <c r="P21" s="185">
        <f>P45</f>
        <v>1044.7</v>
      </c>
      <c r="Q21" s="169">
        <v>1353959</v>
      </c>
      <c r="R21" s="168" t="s">
        <v>4416</v>
      </c>
      <c r="S21" s="198">
        <f>S20-59</f>
        <v>525</v>
      </c>
      <c r="T21" s="19" t="s">
        <v>4459</v>
      </c>
      <c r="U21" s="168">
        <v>192.2</v>
      </c>
      <c r="V21" s="168">
        <f t="shared" si="6"/>
        <v>272.52801534246578</v>
      </c>
      <c r="W21" s="32">
        <f t="shared" si="7"/>
        <v>277.97857564931508</v>
      </c>
      <c r="X21" s="32">
        <f t="shared" si="8"/>
        <v>283.42913595616443</v>
      </c>
      <c r="Y21" s="115"/>
      <c r="Z21" s="115"/>
      <c r="AH21" s="99">
        <v>2</v>
      </c>
      <c r="AI21" s="113" t="s">
        <v>1106</v>
      </c>
      <c r="AJ21" s="113">
        <v>2500000</v>
      </c>
      <c r="AK21" s="99">
        <v>1</v>
      </c>
      <c r="AL21" s="99">
        <f t="shared" ref="AL21:AL63" si="10">AL22+AK21</f>
        <v>680</v>
      </c>
      <c r="AM21" s="113">
        <f t="shared" ref="AM21:AM120" si="11">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4383</v>
      </c>
      <c r="N22" s="113">
        <f t="shared" si="9"/>
        <v>608381370</v>
      </c>
      <c r="O22" s="99">
        <v>48585</v>
      </c>
      <c r="P22" s="185">
        <f>P43</f>
        <v>12522</v>
      </c>
      <c r="Q22" s="169">
        <v>1614398</v>
      </c>
      <c r="R22" s="168" t="s">
        <v>4422</v>
      </c>
      <c r="S22" s="168">
        <f>S21-3</f>
        <v>522</v>
      </c>
      <c r="T22" s="19" t="s">
        <v>4492</v>
      </c>
      <c r="U22" s="168">
        <v>184.6</v>
      </c>
      <c r="V22" s="168">
        <f t="shared" si="6"/>
        <v>261.32684054794521</v>
      </c>
      <c r="W22" s="32">
        <f t="shared" si="7"/>
        <v>266.55337735890413</v>
      </c>
      <c r="X22" s="32">
        <f t="shared" si="8"/>
        <v>271.77991416986305</v>
      </c>
      <c r="Y22" s="115"/>
      <c r="Z22" s="115"/>
      <c r="AH22" s="99">
        <v>3</v>
      </c>
      <c r="AI22" s="113" t="s">
        <v>1115</v>
      </c>
      <c r="AJ22" s="113">
        <v>8000000</v>
      </c>
      <c r="AK22" s="99">
        <v>1</v>
      </c>
      <c r="AL22" s="99">
        <f t="shared" si="10"/>
        <v>679</v>
      </c>
      <c r="AM22" s="113">
        <f t="shared" si="11"/>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4379</v>
      </c>
      <c r="N23" s="113">
        <f t="shared" si="9"/>
        <v>124847544.60000001</v>
      </c>
      <c r="O23" s="99">
        <v>10146</v>
      </c>
      <c r="P23" s="185">
        <f>P42</f>
        <v>12305.1</v>
      </c>
      <c r="Q23" s="169">
        <v>133576</v>
      </c>
      <c r="R23" s="168" t="s">
        <v>4499</v>
      </c>
      <c r="S23" s="197">
        <f>S22-22</f>
        <v>500</v>
      </c>
      <c r="T23" s="168" t="s">
        <v>4500</v>
      </c>
      <c r="U23" s="168">
        <v>166.2</v>
      </c>
      <c r="V23" s="168">
        <f t="shared" si="6"/>
        <v>232.47418520547944</v>
      </c>
      <c r="W23" s="32">
        <f t="shared" si="7"/>
        <v>237.12366890958904</v>
      </c>
      <c r="X23" s="32">
        <f t="shared" si="8"/>
        <v>241.77315261369864</v>
      </c>
      <c r="Y23" s="96"/>
      <c r="Z23" s="96"/>
      <c r="AH23" s="99">
        <v>4</v>
      </c>
      <c r="AI23" s="113" t="s">
        <v>4050</v>
      </c>
      <c r="AJ23" s="113">
        <v>-79552</v>
      </c>
      <c r="AK23" s="99">
        <v>1</v>
      </c>
      <c r="AL23" s="99">
        <f t="shared" si="10"/>
        <v>678</v>
      </c>
      <c r="AM23" s="113">
        <f t="shared" si="11"/>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L59</f>
        <v>2943347886.3971238</v>
      </c>
      <c r="G24" s="95">
        <f t="shared" si="0"/>
        <v>-2663041541.0151854</v>
      </c>
      <c r="H24" s="11"/>
      <c r="I24" s="96"/>
      <c r="J24" s="96"/>
      <c r="K24" s="168" t="s">
        <v>4457</v>
      </c>
      <c r="L24" s="117">
        <f>-'فروردین 98'!D135</f>
        <v>-28836716</v>
      </c>
      <c r="M24" s="168"/>
      <c r="N24" s="113"/>
      <c r="O24" s="69"/>
      <c r="P24" s="99"/>
      <c r="Q24" s="169">
        <v>220803</v>
      </c>
      <c r="R24" s="168" t="s">
        <v>4221</v>
      </c>
      <c r="S24" s="197">
        <f>S23-1</f>
        <v>499</v>
      </c>
      <c r="T24" s="168" t="s">
        <v>4506</v>
      </c>
      <c r="U24" s="168">
        <v>166</v>
      </c>
      <c r="V24" s="168">
        <f t="shared" si="6"/>
        <v>232.06709041095894</v>
      </c>
      <c r="W24" s="32">
        <f t="shared" si="7"/>
        <v>236.70843221917812</v>
      </c>
      <c r="X24" s="32">
        <f t="shared" si="8"/>
        <v>241.3497740273973</v>
      </c>
      <c r="Y24" s="96"/>
      <c r="Z24" s="96"/>
      <c r="AH24" s="99">
        <v>5</v>
      </c>
      <c r="AI24" s="113" t="s">
        <v>1127</v>
      </c>
      <c r="AJ24" s="113">
        <v>165500</v>
      </c>
      <c r="AK24" s="99">
        <v>12</v>
      </c>
      <c r="AL24" s="99">
        <f t="shared" si="10"/>
        <v>677</v>
      </c>
      <c r="AM24" s="113">
        <f t="shared" si="11"/>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456</v>
      </c>
      <c r="L25" s="117">
        <v>250000</v>
      </c>
      <c r="M25" s="189" t="s">
        <v>4444</v>
      </c>
      <c r="N25" s="113">
        <v>5038483</v>
      </c>
      <c r="O25" s="270"/>
      <c r="P25" s="99" t="s">
        <v>25</v>
      </c>
      <c r="Q25" s="169">
        <v>1023940</v>
      </c>
      <c r="R25" s="168" t="s">
        <v>4507</v>
      </c>
      <c r="S25" s="197">
        <f>S24-2</f>
        <v>497</v>
      </c>
      <c r="T25" s="168" t="s">
        <v>4513</v>
      </c>
      <c r="U25" s="168">
        <v>160.19999999999999</v>
      </c>
      <c r="V25" s="168">
        <f t="shared" si="6"/>
        <v>223.71293589041096</v>
      </c>
      <c r="W25" s="32">
        <f t="shared" si="7"/>
        <v>228.18719460821919</v>
      </c>
      <c r="X25" s="32">
        <f t="shared" si="8"/>
        <v>232.66145332602741</v>
      </c>
      <c r="Y25" s="96"/>
      <c r="Z25" s="96" t="s">
        <v>25</v>
      </c>
      <c r="AH25" s="99">
        <v>6</v>
      </c>
      <c r="AI25" s="113" t="s">
        <v>1152</v>
      </c>
      <c r="AJ25" s="113">
        <v>-28830327</v>
      </c>
      <c r="AK25" s="99">
        <v>6</v>
      </c>
      <c r="AL25" s="99">
        <f t="shared" si="10"/>
        <v>665</v>
      </c>
      <c r="AM25" s="113">
        <f t="shared" si="11"/>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t="s">
        <v>25</v>
      </c>
      <c r="K26" s="213"/>
      <c r="L26" s="117"/>
      <c r="M26" s="189" t="s">
        <v>4383</v>
      </c>
      <c r="N26" s="113">
        <f t="shared" ref="N26:N27" si="13">O26*P26</f>
        <v>21074526</v>
      </c>
      <c r="O26" s="69">
        <v>1683</v>
      </c>
      <c r="P26" s="99">
        <f>P43</f>
        <v>12522</v>
      </c>
      <c r="Q26" s="169">
        <v>168846</v>
      </c>
      <c r="R26" s="168" t="s">
        <v>3687</v>
      </c>
      <c r="S26" s="197">
        <f>S25-28</f>
        <v>469</v>
      </c>
      <c r="T26" s="168" t="s">
        <v>4600</v>
      </c>
      <c r="U26" s="168">
        <v>172.2</v>
      </c>
      <c r="V26" s="168">
        <f t="shared" si="6"/>
        <v>236.77169753424658</v>
      </c>
      <c r="W26" s="32">
        <f t="shared" si="7"/>
        <v>241.50713148493153</v>
      </c>
      <c r="X26" s="32">
        <f t="shared" si="8"/>
        <v>246.24256543561646</v>
      </c>
      <c r="Y26" s="96"/>
      <c r="Z26" s="96"/>
      <c r="AH26" s="99">
        <v>7</v>
      </c>
      <c r="AI26" s="113" t="s">
        <v>1177</v>
      </c>
      <c r="AJ26" s="113">
        <v>18500000</v>
      </c>
      <c r="AK26" s="99">
        <v>1</v>
      </c>
      <c r="AL26" s="99">
        <f t="shared" si="10"/>
        <v>659</v>
      </c>
      <c r="AM26" s="113">
        <f t="shared" si="11"/>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189" t="s">
        <v>4423</v>
      </c>
      <c r="N27" s="113">
        <f t="shared" si="13"/>
        <v>184295527</v>
      </c>
      <c r="O27" s="69">
        <v>176410</v>
      </c>
      <c r="P27" s="99">
        <f>P45</f>
        <v>1044.7</v>
      </c>
      <c r="Q27" s="169">
        <v>1563192</v>
      </c>
      <c r="R27" s="213" t="s">
        <v>4699</v>
      </c>
      <c r="S27" s="197">
        <f>S26-33</f>
        <v>436</v>
      </c>
      <c r="T27" s="213" t="s">
        <v>4700</v>
      </c>
      <c r="U27" s="213">
        <v>168.8</v>
      </c>
      <c r="V27" s="213">
        <f t="shared" si="6"/>
        <v>227.82357917808224</v>
      </c>
      <c r="W27" s="32">
        <f t="shared" ref="W27:W32" si="14">V27*(1+$W$19/100)</f>
        <v>232.3800507616439</v>
      </c>
      <c r="X27" s="32">
        <f t="shared" ref="X27:X32" si="15">V27*(1+$X$19/100)</f>
        <v>236.93652234520553</v>
      </c>
      <c r="Y27" s="96"/>
      <c r="Z27" s="96"/>
      <c r="AH27" s="99">
        <v>8</v>
      </c>
      <c r="AI27" s="113" t="s">
        <v>1186</v>
      </c>
      <c r="AJ27" s="113">
        <v>-18550000</v>
      </c>
      <c r="AK27" s="99">
        <v>1</v>
      </c>
      <c r="AL27" s="99">
        <f t="shared" si="10"/>
        <v>658</v>
      </c>
      <c r="AM27" s="113">
        <f t="shared" si="11"/>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c r="L28" s="117"/>
      <c r="M28" s="168"/>
      <c r="N28" s="113"/>
      <c r="P28" t="s">
        <v>25</v>
      </c>
      <c r="Q28" s="169">
        <v>1204691</v>
      </c>
      <c r="R28" s="213" t="s">
        <v>4920</v>
      </c>
      <c r="S28" s="197">
        <f>S27-76</f>
        <v>360</v>
      </c>
      <c r="T28" s="213" t="s">
        <v>4921</v>
      </c>
      <c r="U28" s="213">
        <v>218.5</v>
      </c>
      <c r="V28" s="213">
        <f t="shared" si="6"/>
        <v>282.16311780821923</v>
      </c>
      <c r="W28" s="32">
        <f t="shared" si="14"/>
        <v>287.8063801643836</v>
      </c>
      <c r="X28" s="32">
        <f t="shared" si="15"/>
        <v>293.44964252054803</v>
      </c>
      <c r="Y28" s="96"/>
      <c r="Z28" s="96"/>
      <c r="AH28" s="99">
        <v>9</v>
      </c>
      <c r="AI28" s="113" t="s">
        <v>1193</v>
      </c>
      <c r="AJ28" s="113">
        <v>-64961</v>
      </c>
      <c r="AK28" s="99">
        <v>5</v>
      </c>
      <c r="AL28" s="99">
        <f t="shared" si="10"/>
        <v>657</v>
      </c>
      <c r="AM28" s="113">
        <f t="shared" si="11"/>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J29" t="s">
        <v>25</v>
      </c>
      <c r="K29" s="168" t="s">
        <v>25</v>
      </c>
      <c r="L29" s="117"/>
      <c r="M29" s="168" t="s">
        <v>754</v>
      </c>
      <c r="N29" s="113">
        <v>3000000</v>
      </c>
      <c r="P29" t="s">
        <v>25</v>
      </c>
      <c r="Q29" s="169">
        <v>15011877</v>
      </c>
      <c r="R29" s="213" t="s">
        <v>4924</v>
      </c>
      <c r="S29" s="197">
        <f>S28-3</f>
        <v>357</v>
      </c>
      <c r="T29" s="213" t="s">
        <v>4928</v>
      </c>
      <c r="U29" s="213">
        <v>197.1</v>
      </c>
      <c r="V29" s="213">
        <f t="shared" si="6"/>
        <v>254.07432000000003</v>
      </c>
      <c r="W29" s="32">
        <f t="shared" si="14"/>
        <v>259.15580640000002</v>
      </c>
      <c r="X29" s="32">
        <f t="shared" si="15"/>
        <v>264.23729280000003</v>
      </c>
      <c r="Y29" s="96"/>
      <c r="Z29" s="96"/>
      <c r="AH29" s="99">
        <v>10</v>
      </c>
      <c r="AI29" s="113" t="s">
        <v>1209</v>
      </c>
      <c r="AJ29" s="113">
        <v>6400000</v>
      </c>
      <c r="AK29" s="99">
        <v>1</v>
      </c>
      <c r="AL29" s="99">
        <f t="shared" si="10"/>
        <v>652</v>
      </c>
      <c r="AM29" s="113">
        <f t="shared" si="11"/>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t="s">
        <v>916</v>
      </c>
      <c r="L30" s="117">
        <v>4800000</v>
      </c>
      <c r="M30" s="168" t="s">
        <v>4145</v>
      </c>
      <c r="N30" s="113">
        <f>-S150</f>
        <v>-3051502210.3971238</v>
      </c>
      <c r="Q30" s="169">
        <v>12803120</v>
      </c>
      <c r="R30" s="213" t="s">
        <v>4937</v>
      </c>
      <c r="S30" s="197">
        <f>S29-5</f>
        <v>352</v>
      </c>
      <c r="T30" s="213" t="s">
        <v>4939</v>
      </c>
      <c r="U30" s="213">
        <v>194.4</v>
      </c>
      <c r="V30" s="213">
        <f t="shared" si="6"/>
        <v>249.84820602739731</v>
      </c>
      <c r="W30" s="32">
        <f t="shared" si="14"/>
        <v>254.84517014794525</v>
      </c>
      <c r="X30" s="32">
        <f t="shared" si="15"/>
        <v>259.84213426849323</v>
      </c>
      <c r="Y30" s="96"/>
      <c r="Z30" s="96"/>
      <c r="AH30" s="99">
        <v>11</v>
      </c>
      <c r="AI30" s="113" t="s">
        <v>4051</v>
      </c>
      <c r="AJ30" s="113">
        <v>-170000</v>
      </c>
      <c r="AK30" s="99">
        <v>5</v>
      </c>
      <c r="AL30" s="99">
        <f t="shared" si="10"/>
        <v>651</v>
      </c>
      <c r="AM30" s="113">
        <f t="shared" si="11"/>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c r="L31" s="117"/>
      <c r="M31" s="168" t="s">
        <v>751</v>
      </c>
      <c r="N31" s="113">
        <v>500000</v>
      </c>
      <c r="Q31" s="169">
        <v>100562</v>
      </c>
      <c r="R31" s="213" t="s">
        <v>4945</v>
      </c>
      <c r="S31" s="197">
        <f>S30-6</f>
        <v>346</v>
      </c>
      <c r="T31" s="213" t="s">
        <v>4946</v>
      </c>
      <c r="U31" s="213">
        <v>190.3</v>
      </c>
      <c r="V31" s="213">
        <f t="shared" si="6"/>
        <v>243.70287232876714</v>
      </c>
      <c r="W31" s="32">
        <f t="shared" si="14"/>
        <v>248.57692977534248</v>
      </c>
      <c r="X31" s="32">
        <f t="shared" si="15"/>
        <v>253.45098722191784</v>
      </c>
      <c r="Y31" s="96"/>
      <c r="Z31" s="96"/>
      <c r="AH31" s="99">
        <v>12</v>
      </c>
      <c r="AI31" s="113" t="s">
        <v>1229</v>
      </c>
      <c r="AJ31" s="113">
        <v>-6300000</v>
      </c>
      <c r="AK31" s="99">
        <v>1</v>
      </c>
      <c r="AL31" s="99">
        <f>AL32+AK31</f>
        <v>646</v>
      </c>
      <c r="AM31" s="113">
        <f t="shared" si="11"/>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t="s">
        <v>1082</v>
      </c>
      <c r="L32" s="117">
        <f>'خرید و فروش سکه فیزیکی'!M48*10*P47</f>
        <v>0</v>
      </c>
      <c r="M32" s="168" t="s">
        <v>758</v>
      </c>
      <c r="N32" s="113">
        <v>1200000</v>
      </c>
      <c r="Q32" s="169">
        <v>158296156.27440214</v>
      </c>
      <c r="R32" s="213" t="s">
        <v>4949</v>
      </c>
      <c r="S32" s="197">
        <f>S31-2</f>
        <v>344</v>
      </c>
      <c r="T32" s="213" t="s">
        <v>5591</v>
      </c>
      <c r="U32" s="213">
        <v>195.5</v>
      </c>
      <c r="V32" s="213">
        <f t="shared" si="6"/>
        <v>250.06217534246579</v>
      </c>
      <c r="W32" s="32">
        <f t="shared" si="14"/>
        <v>255.0634188493151</v>
      </c>
      <c r="X32" s="32">
        <f t="shared" si="15"/>
        <v>260.06466235616443</v>
      </c>
      <c r="Y32" s="96"/>
      <c r="Z32" s="96"/>
      <c r="AH32" s="99">
        <v>13</v>
      </c>
      <c r="AI32" s="113" t="s">
        <v>1238</v>
      </c>
      <c r="AJ32" s="113">
        <v>-52015</v>
      </c>
      <c r="AK32" s="99">
        <v>16</v>
      </c>
      <c r="AL32" s="99">
        <f t="shared" si="10"/>
        <v>645</v>
      </c>
      <c r="AM32" s="113">
        <f t="shared" si="11"/>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4994</v>
      </c>
      <c r="L33" s="117">
        <v>-47500000</v>
      </c>
      <c r="M33" s="73"/>
      <c r="N33" s="113"/>
      <c r="Q33" s="169">
        <v>1962799</v>
      </c>
      <c r="R33" s="213" t="s">
        <v>5241</v>
      </c>
      <c r="S33" s="197">
        <f>S32-159</f>
        <v>185</v>
      </c>
      <c r="T33" s="213" t="s">
        <v>5266</v>
      </c>
      <c r="U33" s="213">
        <v>6513.1</v>
      </c>
      <c r="V33" s="213">
        <f t="shared" si="6"/>
        <v>7536.4239967123303</v>
      </c>
      <c r="W33" s="32">
        <f t="shared" ref="W33" si="16">V33*(1+$W$19/100)</f>
        <v>7687.1524766465773</v>
      </c>
      <c r="X33" s="32">
        <f t="shared" ref="X33" si="17">V33*(1+$X$19/100)</f>
        <v>7837.8809565808242</v>
      </c>
      <c r="Y33" s="96"/>
      <c r="Z33" s="96"/>
      <c r="AH33" s="99">
        <v>14</v>
      </c>
      <c r="AI33" s="113" t="s">
        <v>3704</v>
      </c>
      <c r="AJ33" s="113">
        <v>20017400</v>
      </c>
      <c r="AK33" s="99">
        <v>0</v>
      </c>
      <c r="AL33" s="99">
        <f t="shared" si="10"/>
        <v>629</v>
      </c>
      <c r="AM33" s="113">
        <f t="shared" si="11"/>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c r="L34" s="117"/>
      <c r="M34" s="168"/>
      <c r="N34" s="113"/>
      <c r="Q34" s="169">
        <v>16396298</v>
      </c>
      <c r="R34" s="213" t="s">
        <v>5512</v>
      </c>
      <c r="S34" s="197">
        <f>S33-156</f>
        <v>29</v>
      </c>
      <c r="T34" s="213" t="s">
        <v>5513</v>
      </c>
      <c r="U34" s="213">
        <v>7121.4</v>
      </c>
      <c r="V34" s="213">
        <f t="shared" si="6"/>
        <v>7388.0720416438353</v>
      </c>
      <c r="W34" s="32">
        <f t="shared" ref="W34" si="18">V34*(1+$W$19/100)</f>
        <v>7535.8334824767126</v>
      </c>
      <c r="X34" s="32">
        <f t="shared" ref="X34" si="19">V34*(1+$X$19/100)</f>
        <v>7683.5949233095889</v>
      </c>
      <c r="Y34" s="96"/>
      <c r="Z34" s="96"/>
      <c r="AH34" s="99">
        <v>15</v>
      </c>
      <c r="AI34" s="113" t="s">
        <v>3704</v>
      </c>
      <c r="AJ34" s="113">
        <v>1014466</v>
      </c>
      <c r="AK34" s="99">
        <v>12</v>
      </c>
      <c r="AL34" s="99">
        <f t="shared" si="10"/>
        <v>629</v>
      </c>
      <c r="AM34" s="113">
        <f t="shared" si="11"/>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5456</v>
      </c>
      <c r="N35" s="113">
        <v>-14000000</v>
      </c>
      <c r="Q35" s="169">
        <v>23593427</v>
      </c>
      <c r="R35" s="213" t="s">
        <v>5520</v>
      </c>
      <c r="S35" s="197">
        <f>S34-8</f>
        <v>21</v>
      </c>
      <c r="T35" s="213" t="s">
        <v>5522</v>
      </c>
      <c r="U35" s="213">
        <v>7581.3</v>
      </c>
      <c r="V35" s="213">
        <f t="shared" si="6"/>
        <v>7818.6673873972604</v>
      </c>
      <c r="W35" s="32">
        <f t="shared" ref="W35:W37" si="20">V35*(1+$W$19/100)</f>
        <v>7975.0407351452059</v>
      </c>
      <c r="X35" s="32">
        <f t="shared" ref="X35:X37" si="21">V35*(1+$X$19/100)</f>
        <v>8131.4140828931513</v>
      </c>
      <c r="Y35" s="96" t="s">
        <v>25</v>
      </c>
      <c r="Z35" s="96" t="s">
        <v>25</v>
      </c>
      <c r="AH35" s="99">
        <v>16</v>
      </c>
      <c r="AI35" s="113" t="s">
        <v>1140</v>
      </c>
      <c r="AJ35" s="113">
        <v>360000</v>
      </c>
      <c r="AK35" s="99">
        <v>2</v>
      </c>
      <c r="AL35" s="99">
        <f t="shared" si="10"/>
        <v>617</v>
      </c>
      <c r="AM35" s="113">
        <f t="shared" si="11"/>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J36" t="s">
        <v>25</v>
      </c>
      <c r="K36" s="168"/>
      <c r="L36" s="117"/>
      <c r="M36" s="168" t="s">
        <v>4993</v>
      </c>
      <c r="N36" s="113">
        <v>-47000000</v>
      </c>
      <c r="O36" s="302"/>
      <c r="P36" s="96" t="s">
        <v>25</v>
      </c>
      <c r="Q36" s="169">
        <v>2990679</v>
      </c>
      <c r="R36" s="213" t="s">
        <v>5523</v>
      </c>
      <c r="S36" s="197">
        <f>S35-1</f>
        <v>20</v>
      </c>
      <c r="T36" s="213" t="s">
        <v>5524</v>
      </c>
      <c r="U36" s="213">
        <v>7614.2</v>
      </c>
      <c r="V36" s="213">
        <f t="shared" si="6"/>
        <v>7846.7564427397265</v>
      </c>
      <c r="W36" s="32">
        <f t="shared" si="20"/>
        <v>8003.6915715945215</v>
      </c>
      <c r="X36" s="32">
        <f t="shared" si="21"/>
        <v>8160.6267004493156</v>
      </c>
      <c r="Y36" s="96" t="s">
        <v>25</v>
      </c>
      <c r="Z36" s="96"/>
      <c r="AH36" s="99">
        <v>17</v>
      </c>
      <c r="AI36" s="113" t="s">
        <v>3764</v>
      </c>
      <c r="AJ36" s="113">
        <v>-350000</v>
      </c>
      <c r="AK36" s="99">
        <v>0</v>
      </c>
      <c r="AL36" s="99">
        <f t="shared" si="10"/>
        <v>615</v>
      </c>
      <c r="AM36" s="113">
        <f t="shared" si="11"/>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99"/>
      <c r="L37" s="117"/>
      <c r="M37" s="168"/>
      <c r="N37" s="113"/>
      <c r="O37" s="114"/>
      <c r="P37" s="96"/>
      <c r="Q37" s="169">
        <v>554224</v>
      </c>
      <c r="R37" s="213" t="s">
        <v>5527</v>
      </c>
      <c r="S37" s="197">
        <f>S36-4</f>
        <v>16</v>
      </c>
      <c r="T37" s="213" t="s">
        <v>5528</v>
      </c>
      <c r="U37" s="213">
        <v>8488</v>
      </c>
      <c r="V37" s="213">
        <f t="shared" si="6"/>
        <v>8721.1990794520552</v>
      </c>
      <c r="W37" s="32">
        <f t="shared" si="20"/>
        <v>8895.6230610410967</v>
      </c>
      <c r="X37" s="32">
        <f t="shared" si="21"/>
        <v>9070.0470426301381</v>
      </c>
      <c r="Y37" s="96" t="s">
        <v>25</v>
      </c>
      <c r="Z37" s="96" t="s">
        <v>25</v>
      </c>
      <c r="AH37" s="99">
        <v>18</v>
      </c>
      <c r="AI37" s="113" t="s">
        <v>3764</v>
      </c>
      <c r="AJ37" s="113">
        <v>1000</v>
      </c>
      <c r="AK37" s="99">
        <v>1</v>
      </c>
      <c r="AL37" s="99">
        <f t="shared" si="10"/>
        <v>615</v>
      </c>
      <c r="AM37" s="113">
        <f t="shared" si="11"/>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99"/>
      <c r="L38" s="117"/>
      <c r="M38" s="168" t="s">
        <v>4443</v>
      </c>
      <c r="N38" s="113">
        <v>5032458</v>
      </c>
      <c r="O38" s="114"/>
      <c r="P38" t="s">
        <v>25</v>
      </c>
      <c r="Q38" s="169">
        <v>1687767</v>
      </c>
      <c r="R38" s="213" t="s">
        <v>5530</v>
      </c>
      <c r="S38" s="197">
        <f>S37-2</f>
        <v>14</v>
      </c>
      <c r="T38" s="213" t="s">
        <v>5533</v>
      </c>
      <c r="U38" s="213">
        <v>8317.5</v>
      </c>
      <c r="V38" s="213">
        <f t="shared" si="6"/>
        <v>8533.2536712328783</v>
      </c>
      <c r="W38" s="32">
        <f t="shared" ref="W38:W49" si="22">V38*(1+$W$19/100)</f>
        <v>8703.9187446575361</v>
      </c>
      <c r="X38" s="32">
        <f t="shared" ref="X38:X49" si="23">V38*(1+$X$19/100)</f>
        <v>8874.5838180821938</v>
      </c>
      <c r="Y38" s="96" t="s">
        <v>25</v>
      </c>
      <c r="Z38" s="96" t="s">
        <v>25</v>
      </c>
      <c r="AH38" s="99">
        <v>19</v>
      </c>
      <c r="AI38" s="113" t="s">
        <v>3768</v>
      </c>
      <c r="AJ38" s="113">
        <v>33610000</v>
      </c>
      <c r="AK38" s="99">
        <v>4</v>
      </c>
      <c r="AL38" s="99">
        <f t="shared" si="10"/>
        <v>614</v>
      </c>
      <c r="AM38" s="113">
        <f t="shared" si="11"/>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258" t="s">
        <v>5077</v>
      </c>
      <c r="L39" s="117">
        <v>-19000000</v>
      </c>
      <c r="M39" s="168"/>
      <c r="N39" s="113"/>
      <c r="O39" s="99"/>
      <c r="P39" s="99"/>
      <c r="Q39" s="169">
        <v>29256748</v>
      </c>
      <c r="R39" s="213" t="s">
        <v>5534</v>
      </c>
      <c r="S39" s="197">
        <f>S38-1</f>
        <v>13</v>
      </c>
      <c r="T39" s="213" t="s">
        <v>5539</v>
      </c>
      <c r="U39" s="213">
        <v>8338</v>
      </c>
      <c r="V39" s="213">
        <f t="shared" si="6"/>
        <v>8547.8891616438359</v>
      </c>
      <c r="W39" s="32">
        <f t="shared" si="22"/>
        <v>8718.8469448767137</v>
      </c>
      <c r="X39" s="32">
        <f t="shared" si="23"/>
        <v>8889.8047281095896</v>
      </c>
      <c r="Y39" s="96"/>
      <c r="Z39" s="96" t="s">
        <v>25</v>
      </c>
      <c r="AA39" s="96"/>
      <c r="AB39" s="96"/>
      <c r="AC39" s="96"/>
      <c r="AD39" s="96"/>
      <c r="AH39" s="99">
        <v>20</v>
      </c>
      <c r="AI39" s="113" t="s">
        <v>4052</v>
      </c>
      <c r="AJ39" s="113">
        <v>-15600000</v>
      </c>
      <c r="AK39" s="99">
        <v>3</v>
      </c>
      <c r="AL39" s="99">
        <f t="shared" si="10"/>
        <v>610</v>
      </c>
      <c r="AM39" s="113">
        <f t="shared" si="11"/>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36"/>
      <c r="L40" s="117"/>
      <c r="M40" s="21" t="s">
        <v>5389</v>
      </c>
      <c r="N40" s="117">
        <f t="shared" ref="N40" si="24">O40*P40</f>
        <v>69994900</v>
      </c>
      <c r="O40" s="69">
        <v>67000</v>
      </c>
      <c r="P40" s="69">
        <f>P45</f>
        <v>1044.7</v>
      </c>
      <c r="Q40" s="169">
        <v>49280339</v>
      </c>
      <c r="R40" s="213" t="s">
        <v>5543</v>
      </c>
      <c r="S40" s="197">
        <f>S39-3</f>
        <v>10</v>
      </c>
      <c r="T40" s="213" t="s">
        <v>5546</v>
      </c>
      <c r="U40" s="213">
        <v>8740</v>
      </c>
      <c r="V40" s="213">
        <f t="shared" si="6"/>
        <v>8939.8945753424669</v>
      </c>
      <c r="W40" s="32">
        <f t="shared" si="22"/>
        <v>9118.6924668493157</v>
      </c>
      <c r="X40" s="32">
        <f t="shared" si="23"/>
        <v>9297.4903583561663</v>
      </c>
      <c r="Y40" s="96" t="s">
        <v>25</v>
      </c>
      <c r="Z40" s="96" t="s">
        <v>25</v>
      </c>
      <c r="AA40" s="96"/>
      <c r="AB40" s="96"/>
      <c r="AC40" s="96"/>
      <c r="AD40" s="96"/>
      <c r="AH40" s="99">
        <v>21</v>
      </c>
      <c r="AI40" s="113" t="s">
        <v>3782</v>
      </c>
      <c r="AJ40" s="113">
        <v>7500000</v>
      </c>
      <c r="AK40" s="99">
        <v>4</v>
      </c>
      <c r="AL40" s="99">
        <f t="shared" si="10"/>
        <v>607</v>
      </c>
      <c r="AM40" s="113">
        <f t="shared" si="11"/>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t="s">
        <v>5230</v>
      </c>
      <c r="L41" s="117">
        <f>-1200*P48</f>
        <v>-19200000</v>
      </c>
      <c r="M41" s="21" t="s">
        <v>5335</v>
      </c>
      <c r="N41" s="117">
        <f t="shared" ref="N41:N48" si="25">O41*P41</f>
        <v>0</v>
      </c>
      <c r="O41" s="69">
        <v>0</v>
      </c>
      <c r="P41" s="69">
        <v>84600</v>
      </c>
      <c r="Q41" s="169">
        <v>3602822</v>
      </c>
      <c r="R41" s="213" t="s">
        <v>5548</v>
      </c>
      <c r="S41" s="197">
        <f>S40-1</f>
        <v>9</v>
      </c>
      <c r="T41" s="213" t="s">
        <v>5551</v>
      </c>
      <c r="U41" s="213">
        <v>8966.4</v>
      </c>
      <c r="V41" s="213">
        <f t="shared" si="6"/>
        <v>9164.5942882191794</v>
      </c>
      <c r="W41" s="32">
        <f t="shared" si="22"/>
        <v>9347.8861739835629</v>
      </c>
      <c r="X41" s="32">
        <f t="shared" si="23"/>
        <v>9531.1780597479465</v>
      </c>
      <c r="Y41" s="96"/>
      <c r="Z41" s="96"/>
      <c r="AA41" s="96"/>
      <c r="AB41" s="96"/>
      <c r="AC41" s="96"/>
      <c r="AD41" s="96"/>
      <c r="AH41" s="99">
        <v>22</v>
      </c>
      <c r="AI41" s="113" t="s">
        <v>4053</v>
      </c>
      <c r="AJ41" s="113">
        <v>-98000</v>
      </c>
      <c r="AK41" s="99">
        <v>1</v>
      </c>
      <c r="AL41" s="99">
        <f t="shared" si="10"/>
        <v>603</v>
      </c>
      <c r="AM41" s="113">
        <f t="shared" si="11"/>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36"/>
      <c r="L42" s="117"/>
      <c r="M42" s="19" t="s">
        <v>4379</v>
      </c>
      <c r="N42" s="117">
        <f t="shared" si="25"/>
        <v>191553491.70000002</v>
      </c>
      <c r="O42" s="69">
        <v>15567</v>
      </c>
      <c r="P42" s="69">
        <v>12305.1</v>
      </c>
      <c r="Q42" s="169">
        <v>41520740</v>
      </c>
      <c r="R42" s="213" t="s">
        <v>5548</v>
      </c>
      <c r="S42" s="197">
        <f>S41</f>
        <v>9</v>
      </c>
      <c r="T42" s="213" t="s">
        <v>5552</v>
      </c>
      <c r="U42" s="213">
        <v>8537.2999999999993</v>
      </c>
      <c r="V42" s="213">
        <f t="shared" si="6"/>
        <v>8726.0094147945219</v>
      </c>
      <c r="W42" s="32">
        <f t="shared" si="22"/>
        <v>8900.5296030904119</v>
      </c>
      <c r="X42" s="32">
        <f t="shared" si="23"/>
        <v>9075.0497913863037</v>
      </c>
      <c r="Y42" s="115" t="s">
        <v>25</v>
      </c>
      <c r="Z42" s="115"/>
      <c r="AA42" s="115"/>
      <c r="AB42" s="115"/>
      <c r="AC42" s="115"/>
      <c r="AD42" s="115"/>
      <c r="AE42" s="115"/>
      <c r="AF42" s="115"/>
      <c r="AH42" s="99">
        <v>23</v>
      </c>
      <c r="AI42" s="113" t="s">
        <v>4047</v>
      </c>
      <c r="AJ42" s="113">
        <v>-26000000</v>
      </c>
      <c r="AK42" s="99">
        <v>0</v>
      </c>
      <c r="AL42" s="99">
        <f t="shared" si="10"/>
        <v>602</v>
      </c>
      <c r="AM42" s="113">
        <f t="shared" si="11"/>
        <v>-15652000000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c r="L43" s="117"/>
      <c r="M43" s="19" t="s">
        <v>4383</v>
      </c>
      <c r="N43" s="117">
        <f t="shared" si="25"/>
        <v>1648295904</v>
      </c>
      <c r="O43" s="69">
        <v>131632</v>
      </c>
      <c r="P43" s="69">
        <v>12522</v>
      </c>
      <c r="Q43" s="169">
        <v>45615767</v>
      </c>
      <c r="R43" s="213" t="s">
        <v>5553</v>
      </c>
      <c r="S43" s="197">
        <f>S42-1</f>
        <v>8</v>
      </c>
      <c r="T43" s="213" t="s">
        <v>5556</v>
      </c>
      <c r="U43" s="213">
        <v>8558.9</v>
      </c>
      <c r="V43" s="213">
        <f t="shared" si="6"/>
        <v>8741.5211320547951</v>
      </c>
      <c r="W43" s="32">
        <f t="shared" si="22"/>
        <v>8916.3515546958915</v>
      </c>
      <c r="X43" s="32">
        <f t="shared" si="23"/>
        <v>9091.181977336988</v>
      </c>
      <c r="Y43" s="115"/>
      <c r="Z43" s="115"/>
      <c r="AA43" s="115" t="s">
        <v>25</v>
      </c>
      <c r="AB43" s="115"/>
      <c r="AC43" s="115"/>
      <c r="AD43" s="115"/>
      <c r="AE43" s="115"/>
      <c r="AF43" s="115"/>
      <c r="AH43" s="99">
        <v>24</v>
      </c>
      <c r="AI43" s="113" t="s">
        <v>4047</v>
      </c>
      <c r="AJ43" s="113">
        <v>25000000</v>
      </c>
      <c r="AK43" s="99">
        <v>1</v>
      </c>
      <c r="AL43" s="99">
        <f t="shared" si="10"/>
        <v>602</v>
      </c>
      <c r="AM43" s="113">
        <f t="shared" si="11"/>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c r="L44" s="117"/>
      <c r="M44" s="19" t="s">
        <v>5401</v>
      </c>
      <c r="N44" s="117">
        <f t="shared" si="25"/>
        <v>0</v>
      </c>
      <c r="O44" s="69">
        <v>0</v>
      </c>
      <c r="P44" s="69">
        <v>945.2</v>
      </c>
      <c r="Q44" s="169">
        <v>7413007</v>
      </c>
      <c r="R44" s="213" t="s">
        <v>5567</v>
      </c>
      <c r="S44" s="197">
        <f>S43-5</f>
        <v>3</v>
      </c>
      <c r="T44" s="213" t="s">
        <v>5568</v>
      </c>
      <c r="U44" s="213">
        <v>9110.5</v>
      </c>
      <c r="V44" s="213">
        <f t="shared" si="6"/>
        <v>9269.9462301369877</v>
      </c>
      <c r="W44" s="32">
        <f t="shared" si="22"/>
        <v>9455.3451547397271</v>
      </c>
      <c r="X44" s="32">
        <f t="shared" si="23"/>
        <v>9640.7440793424666</v>
      </c>
      <c r="Y44" s="115" t="s">
        <v>25</v>
      </c>
      <c r="Z44" s="115"/>
      <c r="AA44" s="115"/>
      <c r="AB44" s="115"/>
      <c r="AC44" s="115"/>
      <c r="AD44" s="115" t="s">
        <v>25</v>
      </c>
      <c r="AE44" s="115"/>
      <c r="AF44" s="115"/>
      <c r="AH44" s="99">
        <v>25</v>
      </c>
      <c r="AI44" s="113" t="s">
        <v>4048</v>
      </c>
      <c r="AJ44" s="113">
        <v>110000</v>
      </c>
      <c r="AK44" s="99">
        <v>1</v>
      </c>
      <c r="AL44" s="99">
        <f t="shared" si="10"/>
        <v>601</v>
      </c>
      <c r="AM44" s="113">
        <f t="shared" si="11"/>
        <v>66110000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t="s">
        <v>5535</v>
      </c>
      <c r="L45" s="117">
        <v>-10054731</v>
      </c>
      <c r="M45" s="19" t="s">
        <v>4173</v>
      </c>
      <c r="N45" s="113">
        <f>O45*P45</f>
        <v>1951247827.3000002</v>
      </c>
      <c r="O45" s="99">
        <v>1867759</v>
      </c>
      <c r="P45" s="99">
        <v>1044.7</v>
      </c>
      <c r="Q45" s="169">
        <v>64446280</v>
      </c>
      <c r="R45" s="213" t="s">
        <v>5571</v>
      </c>
      <c r="S45" s="197">
        <f>S44-3</f>
        <v>0</v>
      </c>
      <c r="T45" s="213" t="s">
        <v>5578</v>
      </c>
      <c r="U45" s="213">
        <v>10302</v>
      </c>
      <c r="V45" s="213">
        <f t="shared" si="6"/>
        <v>10458.590400000001</v>
      </c>
      <c r="W45" s="32">
        <f t="shared" si="22"/>
        <v>10667.762208000002</v>
      </c>
      <c r="X45" s="32">
        <f t="shared" si="23"/>
        <v>10876.934016000001</v>
      </c>
      <c r="Y45" s="122" t="s">
        <v>25</v>
      </c>
      <c r="Z45" s="115"/>
      <c r="AA45" s="115"/>
      <c r="AB45" s="115"/>
      <c r="AC45" s="115" t="s">
        <v>25</v>
      </c>
      <c r="AD45" s="115" t="s">
        <v>25</v>
      </c>
      <c r="AE45" s="115"/>
      <c r="AF45" s="115" t="s">
        <v>25</v>
      </c>
      <c r="AH45" s="99">
        <v>26</v>
      </c>
      <c r="AI45" s="113" t="s">
        <v>3797</v>
      </c>
      <c r="AJ45" s="113">
        <v>380000</v>
      </c>
      <c r="AK45" s="99">
        <v>7</v>
      </c>
      <c r="AL45" s="99">
        <f t="shared" si="10"/>
        <v>600</v>
      </c>
      <c r="AM45" s="113">
        <f t="shared" si="11"/>
        <v>228000000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258" t="s">
        <v>5597</v>
      </c>
      <c r="L46" s="117">
        <v>-1605910</v>
      </c>
      <c r="M46" s="19" t="s">
        <v>5144</v>
      </c>
      <c r="N46" s="113">
        <f t="shared" si="25"/>
        <v>0</v>
      </c>
      <c r="O46" s="99">
        <v>0</v>
      </c>
      <c r="P46" s="99">
        <v>5720</v>
      </c>
      <c r="Q46" s="169">
        <v>326876307</v>
      </c>
      <c r="R46" s="213" t="s">
        <v>5408</v>
      </c>
      <c r="S46" s="197">
        <f>S45-6</f>
        <v>-6</v>
      </c>
      <c r="T46" s="213" t="s">
        <v>5588</v>
      </c>
      <c r="U46" s="213">
        <v>12513</v>
      </c>
      <c r="V46" s="213">
        <f t="shared" si="6"/>
        <v>12645.603517808222</v>
      </c>
      <c r="W46" s="32">
        <f t="shared" si="22"/>
        <v>12898.515588164386</v>
      </c>
      <c r="X46" s="32">
        <f t="shared" si="23"/>
        <v>13151.427658520552</v>
      </c>
      <c r="Y46" s="115" t="s">
        <v>25</v>
      </c>
      <c r="Z46" s="115"/>
      <c r="AA46" s="115"/>
      <c r="AB46" s="115"/>
      <c r="AC46" s="115"/>
      <c r="AD46" s="115"/>
      <c r="AE46" s="115"/>
      <c r="AF46" s="115"/>
      <c r="AH46" s="99">
        <v>27</v>
      </c>
      <c r="AI46" s="113" t="s">
        <v>3883</v>
      </c>
      <c r="AJ46" s="113">
        <v>450000</v>
      </c>
      <c r="AK46" s="99">
        <v>6</v>
      </c>
      <c r="AL46" s="99">
        <f t="shared" si="10"/>
        <v>593</v>
      </c>
      <c r="AM46" s="113">
        <f t="shared" si="11"/>
        <v>266850000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258"/>
      <c r="L47" s="117"/>
      <c r="M47" s="21" t="s">
        <v>1082</v>
      </c>
      <c r="N47" s="117">
        <f t="shared" si="25"/>
        <v>0</v>
      </c>
      <c r="O47" s="69">
        <v>0</v>
      </c>
      <c r="P47" s="69">
        <v>733000</v>
      </c>
      <c r="Q47" s="169"/>
      <c r="R47" s="213" t="s">
        <v>5584</v>
      </c>
      <c r="S47" s="197">
        <f>S46-1</f>
        <v>-7</v>
      </c>
      <c r="T47" s="213" t="s">
        <v>5598</v>
      </c>
      <c r="U47" s="213"/>
      <c r="V47" s="213"/>
      <c r="W47" s="32"/>
      <c r="X47" s="32"/>
      <c r="Y47" s="122" t="s">
        <v>25</v>
      </c>
      <c r="Z47" s="115"/>
      <c r="AA47" s="115"/>
      <c r="AB47" s="115"/>
      <c r="AC47" s="115"/>
      <c r="AD47" s="115" t="s">
        <v>25</v>
      </c>
      <c r="AE47" s="115"/>
      <c r="AF47" s="115"/>
      <c r="AH47" s="99">
        <v>28</v>
      </c>
      <c r="AI47" s="113" t="s">
        <v>3907</v>
      </c>
      <c r="AJ47" s="113">
        <v>2800000</v>
      </c>
      <c r="AK47" s="99">
        <v>1</v>
      </c>
      <c r="AL47" s="99">
        <f t="shared" si="10"/>
        <v>587</v>
      </c>
      <c r="AM47" s="113">
        <f t="shared" si="11"/>
        <v>1643600000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t="s">
        <v>5384</v>
      </c>
      <c r="L48" s="117">
        <f>67000*P45</f>
        <v>69994900</v>
      </c>
      <c r="M48" s="73" t="s">
        <v>5143</v>
      </c>
      <c r="N48" s="117">
        <f t="shared" si="25"/>
        <v>0</v>
      </c>
      <c r="O48" s="69">
        <v>0</v>
      </c>
      <c r="P48" s="69">
        <v>16000</v>
      </c>
      <c r="Q48" s="169"/>
      <c r="R48" s="213"/>
      <c r="S48" s="197"/>
      <c r="T48" s="213"/>
      <c r="U48" s="213"/>
      <c r="V48" s="213"/>
      <c r="W48" s="32"/>
      <c r="X48" s="32"/>
      <c r="Y48" s="115" t="s">
        <v>25</v>
      </c>
      <c r="Z48" s="115" t="s">
        <v>25</v>
      </c>
      <c r="AA48" s="115"/>
      <c r="AB48" s="115" t="s">
        <v>25</v>
      </c>
      <c r="AC48" s="115"/>
      <c r="AD48" s="115"/>
      <c r="AE48" s="115"/>
      <c r="AF48" s="115"/>
      <c r="AH48" s="99">
        <v>29</v>
      </c>
      <c r="AI48" s="113" t="s">
        <v>3908</v>
      </c>
      <c r="AJ48" s="113">
        <v>-1500000</v>
      </c>
      <c r="AK48" s="99">
        <v>0</v>
      </c>
      <c r="AL48" s="99">
        <f t="shared" si="10"/>
        <v>586</v>
      </c>
      <c r="AM48" s="113">
        <f t="shared" si="11"/>
        <v>-879000000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c r="L49" s="117"/>
      <c r="M49" s="168" t="s">
        <v>1148</v>
      </c>
      <c r="N49" s="117">
        <v>14908</v>
      </c>
      <c r="O49" s="96"/>
      <c r="P49" t="s">
        <v>25</v>
      </c>
      <c r="Q49" s="169" t="s">
        <v>25</v>
      </c>
      <c r="R49" s="168" t="s">
        <v>25</v>
      </c>
      <c r="S49" s="168"/>
      <c r="T49" s="168" t="s">
        <v>25</v>
      </c>
      <c r="U49" s="168"/>
      <c r="V49" s="213">
        <f>U49*(1+$R$80+$Q$15*S49/36500)</f>
        <v>0</v>
      </c>
      <c r="W49" s="32">
        <f t="shared" si="22"/>
        <v>0</v>
      </c>
      <c r="X49" s="32">
        <f t="shared" si="23"/>
        <v>0</v>
      </c>
      <c r="Y49" s="122" t="s">
        <v>25</v>
      </c>
      <c r="AC49" t="s">
        <v>25</v>
      </c>
      <c r="AD49" t="s">
        <v>25</v>
      </c>
      <c r="AF49" s="115"/>
      <c r="AH49" s="99">
        <v>30</v>
      </c>
      <c r="AI49" s="113" t="s">
        <v>3908</v>
      </c>
      <c r="AJ49" s="113">
        <v>3050000</v>
      </c>
      <c r="AK49" s="99">
        <v>3</v>
      </c>
      <c r="AL49" s="99">
        <f>AL50+AK49</f>
        <v>586</v>
      </c>
      <c r="AM49" s="113">
        <f t="shared" si="11"/>
        <v>1787300000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168" t="s">
        <v>1149</v>
      </c>
      <c r="N50" s="117">
        <v>5282</v>
      </c>
      <c r="O50" s="96"/>
      <c r="P50" t="s">
        <v>25</v>
      </c>
      <c r="Q50" s="169">
        <f>SUM(N21:N23)-SUM(Q20:Q49)</f>
        <v>1031642380.9255979</v>
      </c>
      <c r="R50" s="168" t="s">
        <v>25</v>
      </c>
      <c r="S50" s="168" t="s">
        <v>25</v>
      </c>
      <c r="T50" s="168"/>
      <c r="U50" s="168"/>
      <c r="V50" s="168"/>
      <c r="W50" s="32"/>
      <c r="X50" s="32"/>
      <c r="Y50" t="s">
        <v>25</v>
      </c>
      <c r="Z50" t="s">
        <v>25</v>
      </c>
      <c r="AA50" s="96"/>
      <c r="AH50" s="99">
        <v>31</v>
      </c>
      <c r="AI50" s="113" t="s">
        <v>3932</v>
      </c>
      <c r="AJ50" s="113">
        <v>-8299612</v>
      </c>
      <c r="AK50" s="99">
        <v>2</v>
      </c>
      <c r="AL50" s="99">
        <f t="shared" si="10"/>
        <v>583</v>
      </c>
      <c r="AM50" s="113">
        <f t="shared" si="11"/>
        <v>-4838673796</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J51" s="114"/>
      <c r="K51" s="59"/>
      <c r="L51" s="117"/>
      <c r="M51" s="168"/>
      <c r="N51" s="113"/>
      <c r="O51" s="115"/>
      <c r="P51" s="115"/>
      <c r="R51" s="115" t="s">
        <v>25</v>
      </c>
      <c r="S51" s="115" t="s">
        <v>25</v>
      </c>
      <c r="T51" s="122" t="s">
        <v>25</v>
      </c>
      <c r="U51" s="115" t="s">
        <v>25</v>
      </c>
      <c r="V51" s="115" t="s">
        <v>25</v>
      </c>
      <c r="W51" s="194" t="s">
        <v>25</v>
      </c>
      <c r="X51" s="194"/>
      <c r="Z51" t="s">
        <v>25</v>
      </c>
      <c r="AA51" s="96"/>
      <c r="AH51" s="99">
        <v>32</v>
      </c>
      <c r="AI51" s="113" t="s">
        <v>3927</v>
      </c>
      <c r="AJ51" s="113">
        <v>5000000</v>
      </c>
      <c r="AK51" s="99">
        <v>14</v>
      </c>
      <c r="AL51" s="99">
        <f t="shared" si="10"/>
        <v>581</v>
      </c>
      <c r="AM51" s="113">
        <f t="shared" si="11"/>
        <v>2905000000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J52" t="s">
        <v>25</v>
      </c>
      <c r="K52" s="99"/>
      <c r="L52" s="117"/>
      <c r="M52" s="168"/>
      <c r="N52" s="113"/>
      <c r="O52" s="99"/>
      <c r="P52" s="99"/>
      <c r="Q52" s="96"/>
      <c r="R52" s="115" t="s">
        <v>25</v>
      </c>
      <c r="S52" s="115"/>
      <c r="T52" s="115" t="s">
        <v>25</v>
      </c>
      <c r="U52" s="115" t="s">
        <v>25</v>
      </c>
      <c r="V52" s="122" t="s">
        <v>25</v>
      </c>
      <c r="W52" s="194"/>
      <c r="X52" s="194" t="s">
        <v>25</v>
      </c>
      <c r="Y52" t="s">
        <v>25</v>
      </c>
      <c r="Z52" t="s">
        <v>25</v>
      </c>
      <c r="AA52" s="96"/>
      <c r="AH52" s="99">
        <v>33</v>
      </c>
      <c r="AI52" s="113" t="s">
        <v>987</v>
      </c>
      <c r="AJ52" s="113">
        <v>-90000</v>
      </c>
      <c r="AK52" s="99">
        <v>1</v>
      </c>
      <c r="AL52" s="99">
        <f t="shared" si="10"/>
        <v>567</v>
      </c>
      <c r="AM52" s="113">
        <f t="shared" si="11"/>
        <v>-51030000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J53" s="114"/>
      <c r="K53" s="168"/>
      <c r="L53" s="117"/>
      <c r="M53" s="168"/>
      <c r="N53" s="113"/>
      <c r="Q53" s="168" t="s">
        <v>655</v>
      </c>
      <c r="R53" s="168"/>
      <c r="S53" s="168"/>
      <c r="T53" s="168"/>
      <c r="U53" s="168"/>
      <c r="V53" s="168"/>
      <c r="W53" s="32"/>
      <c r="X53" s="32"/>
      <c r="Y53" t="s">
        <v>25</v>
      </c>
      <c r="Z53" t="s">
        <v>25</v>
      </c>
      <c r="AH53" s="99">
        <v>34</v>
      </c>
      <c r="AI53" s="113" t="s">
        <v>4049</v>
      </c>
      <c r="AJ53" s="113">
        <v>5600000</v>
      </c>
      <c r="AK53" s="99">
        <v>4</v>
      </c>
      <c r="AL53" s="99">
        <f t="shared" si="10"/>
        <v>566</v>
      </c>
      <c r="AM53" s="113">
        <f t="shared" si="11"/>
        <v>3169600000</v>
      </c>
      <c r="AN53" s="99"/>
    </row>
    <row r="54" spans="1:45" ht="30">
      <c r="A54" s="63">
        <v>1400</v>
      </c>
      <c r="B54" s="11">
        <v>52</v>
      </c>
      <c r="C54" s="49">
        <f t="shared" si="4"/>
        <v>5380547.1560366414</v>
      </c>
      <c r="D54" s="3">
        <f t="shared" si="5"/>
        <v>4370773.2377119577</v>
      </c>
      <c r="E54" s="3">
        <f t="shared" si="12"/>
        <v>542808580.73450804</v>
      </c>
      <c r="F54" s="3"/>
      <c r="G54" s="11"/>
      <c r="H54" s="11"/>
      <c r="J54" t="s">
        <v>25</v>
      </c>
      <c r="K54" s="168"/>
      <c r="L54" s="117"/>
      <c r="M54" s="168"/>
      <c r="N54" s="113"/>
      <c r="P54" t="s">
        <v>25</v>
      </c>
      <c r="Q54" s="168" t="s">
        <v>267</v>
      </c>
      <c r="R54" s="168" t="s">
        <v>180</v>
      </c>
      <c r="S54" s="168" t="s">
        <v>183</v>
      </c>
      <c r="T54" s="168" t="s">
        <v>8</v>
      </c>
      <c r="U54" s="168" t="s">
        <v>4352</v>
      </c>
      <c r="V54" s="73" t="s">
        <v>4354</v>
      </c>
      <c r="W54" s="32">
        <v>2</v>
      </c>
      <c r="X54" s="32">
        <v>4</v>
      </c>
      <c r="Y54" t="s">
        <v>25</v>
      </c>
      <c r="AH54" s="99">
        <v>35</v>
      </c>
      <c r="AI54" s="113" t="s">
        <v>3977</v>
      </c>
      <c r="AJ54" s="113">
        <v>750000</v>
      </c>
      <c r="AK54" s="99">
        <v>2</v>
      </c>
      <c r="AL54" s="99">
        <f t="shared" si="10"/>
        <v>562</v>
      </c>
      <c r="AM54" s="113">
        <f t="shared" si="11"/>
        <v>421500000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t="s">
        <v>4430</v>
      </c>
      <c r="N55" s="113">
        <f>-S151</f>
        <v>-86352803.045160562</v>
      </c>
      <c r="Q55" s="168">
        <v>0</v>
      </c>
      <c r="R55" s="168" t="s">
        <v>4166</v>
      </c>
      <c r="S55" s="168">
        <f>S84</f>
        <v>584</v>
      </c>
      <c r="T55" s="168"/>
      <c r="U55" s="168"/>
      <c r="V55" s="73"/>
      <c r="W55" s="32"/>
      <c r="X55" s="32"/>
      <c r="Y55" t="s">
        <v>25</v>
      </c>
      <c r="Z55" t="s">
        <v>25</v>
      </c>
      <c r="AA55" t="s">
        <v>25</v>
      </c>
      <c r="AH55" s="171">
        <v>36</v>
      </c>
      <c r="AI55" s="170" t="s">
        <v>3987</v>
      </c>
      <c r="AJ55" s="170">
        <v>-4242000</v>
      </c>
      <c r="AK55" s="171">
        <v>2</v>
      </c>
      <c r="AL55" s="171">
        <f t="shared" si="10"/>
        <v>560</v>
      </c>
      <c r="AM55" s="170">
        <f t="shared" si="11"/>
        <v>-2375520000</v>
      </c>
      <c r="AN55" s="171" t="s">
        <v>4058</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Q56" s="169">
        <v>863944</v>
      </c>
      <c r="R56" s="168" t="s">
        <v>4422</v>
      </c>
      <c r="S56" s="168">
        <f>S55-62</f>
        <v>522</v>
      </c>
      <c r="T56" s="190" t="s">
        <v>4493</v>
      </c>
      <c r="U56" s="168">
        <v>184.6</v>
      </c>
      <c r="V56" s="168">
        <f t="shared" ref="V56:V73" si="26">U56*(1+$R$80+$Q$15*S56/36500)</f>
        <v>261.32684054794521</v>
      </c>
      <c r="W56" s="32">
        <f t="shared" ref="W56:W66" si="27">V56*(1+$W$19/100)</f>
        <v>266.55337735890413</v>
      </c>
      <c r="X56" s="32">
        <f t="shared" ref="X56:X66" si="28">V56*(1+$X$19/100)</f>
        <v>271.77991416986305</v>
      </c>
      <c r="Y56" s="96" t="s">
        <v>25</v>
      </c>
      <c r="AH56" s="99">
        <v>37</v>
      </c>
      <c r="AI56" s="113" t="s">
        <v>3987</v>
      </c>
      <c r="AJ56" s="113">
        <v>4100000</v>
      </c>
      <c r="AK56" s="99">
        <v>0</v>
      </c>
      <c r="AL56" s="99">
        <f t="shared" si="10"/>
        <v>558</v>
      </c>
      <c r="AM56" s="113">
        <f t="shared" si="11"/>
        <v>2287800000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Q57" s="169">
        <v>1692313</v>
      </c>
      <c r="R57" s="168" t="s">
        <v>4496</v>
      </c>
      <c r="S57" s="197">
        <f>S56-21</f>
        <v>501</v>
      </c>
      <c r="T57" s="189" t="s">
        <v>4497</v>
      </c>
      <c r="U57" s="168">
        <v>168.5</v>
      </c>
      <c r="V57" s="168">
        <f t="shared" si="26"/>
        <v>235.82059726027398</v>
      </c>
      <c r="W57" s="32">
        <f t="shared" si="27"/>
        <v>240.53700920547948</v>
      </c>
      <c r="X57" s="32">
        <f t="shared" si="28"/>
        <v>245.25342115068494</v>
      </c>
      <c r="Y57" t="s">
        <v>25</v>
      </c>
      <c r="AH57" s="99">
        <v>38</v>
      </c>
      <c r="AI57" s="113" t="s">
        <v>3993</v>
      </c>
      <c r="AJ57" s="113">
        <v>4100000</v>
      </c>
      <c r="AK57" s="99">
        <v>1</v>
      </c>
      <c r="AL57" s="99">
        <f t="shared" si="10"/>
        <v>558</v>
      </c>
      <c r="AM57" s="113">
        <f t="shared" si="11"/>
        <v>2287800000</v>
      </c>
      <c r="AN57" s="99"/>
    </row>
    <row r="58" spans="1:45">
      <c r="A58" s="63">
        <v>1400</v>
      </c>
      <c r="B58" s="11">
        <v>56</v>
      </c>
      <c r="C58" s="50">
        <f t="shared" si="4"/>
        <v>5599018.9465658255</v>
      </c>
      <c r="D58" s="3">
        <f t="shared" si="5"/>
        <v>4548244.1579637462</v>
      </c>
      <c r="E58" s="3">
        <f t="shared" si="12"/>
        <v>591819398.97808707</v>
      </c>
      <c r="F58" s="3"/>
      <c r="G58" s="11"/>
      <c r="H58" s="11"/>
      <c r="J58" s="114"/>
      <c r="K58" s="168"/>
      <c r="L58" s="117"/>
      <c r="M58" s="168"/>
      <c r="N58" s="113">
        <f>SUM(N16:N57)</f>
        <v>2737210595.7577157</v>
      </c>
      <c r="P58" t="s">
        <v>25</v>
      </c>
      <c r="Q58" s="169">
        <v>101153</v>
      </c>
      <c r="R58" s="168" t="s">
        <v>4499</v>
      </c>
      <c r="S58" s="197">
        <f>S57-1</f>
        <v>500</v>
      </c>
      <c r="T58" s="189" t="s">
        <v>4501</v>
      </c>
      <c r="U58" s="168">
        <v>166.7</v>
      </c>
      <c r="V58" s="168">
        <f t="shared" si="26"/>
        <v>233.17356602739727</v>
      </c>
      <c r="W58" s="32">
        <f t="shared" si="27"/>
        <v>237.83703734794523</v>
      </c>
      <c r="X58" s="32">
        <f t="shared" si="28"/>
        <v>242.50050866849318</v>
      </c>
      <c r="Y58" t="s">
        <v>25</v>
      </c>
      <c r="AA58" t="s">
        <v>25</v>
      </c>
      <c r="AH58" s="99">
        <v>39</v>
      </c>
      <c r="AI58" s="113" t="s">
        <v>4002</v>
      </c>
      <c r="AJ58" s="113">
        <v>790000</v>
      </c>
      <c r="AK58" s="99">
        <v>15</v>
      </c>
      <c r="AL58" s="99">
        <f t="shared" si="10"/>
        <v>557</v>
      </c>
      <c r="AM58" s="113">
        <f t="shared" si="11"/>
        <v>440030000</v>
      </c>
      <c r="AN58" s="99"/>
    </row>
    <row r="59" spans="1:45">
      <c r="A59" s="63">
        <v>1400</v>
      </c>
      <c r="B59" s="11">
        <v>57</v>
      </c>
      <c r="C59" s="50">
        <f t="shared" si="4"/>
        <v>5655009.1360314842</v>
      </c>
      <c r="D59" s="3">
        <f t="shared" si="5"/>
        <v>4593726.5995433833</v>
      </c>
      <c r="E59" s="3">
        <f t="shared" si="12"/>
        <v>604717069.49413705</v>
      </c>
      <c r="F59" s="3"/>
      <c r="G59" s="11"/>
      <c r="H59" s="11"/>
      <c r="K59" s="168" t="s">
        <v>598</v>
      </c>
      <c r="L59" s="113">
        <f>SUM(L16:L41)</f>
        <v>2943347886.3971238</v>
      </c>
      <c r="M59" s="168"/>
      <c r="N59" s="113">
        <f>N16+N17+N31</f>
        <v>641053</v>
      </c>
      <c r="Q59" s="169">
        <v>183105</v>
      </c>
      <c r="R59" s="168" t="s">
        <v>4221</v>
      </c>
      <c r="S59" s="197">
        <f>S58-1</f>
        <v>499</v>
      </c>
      <c r="T59" s="189" t="s">
        <v>4505</v>
      </c>
      <c r="U59" s="168">
        <v>166.6</v>
      </c>
      <c r="V59" s="168">
        <f t="shared" si="26"/>
        <v>232.9058871232877</v>
      </c>
      <c r="W59" s="32">
        <f t="shared" si="27"/>
        <v>237.56400486575345</v>
      </c>
      <c r="X59" s="32">
        <f t="shared" si="28"/>
        <v>242.22212260821922</v>
      </c>
      <c r="Y59" t="s">
        <v>25</v>
      </c>
      <c r="Z59" s="96">
        <v>4661</v>
      </c>
      <c r="AA59" s="96"/>
      <c r="AB59" s="96"/>
      <c r="AC59" s="96"/>
      <c r="AH59" s="171">
        <v>40</v>
      </c>
      <c r="AI59" s="170" t="s">
        <v>4033</v>
      </c>
      <c r="AJ59" s="170">
        <v>-3865000</v>
      </c>
      <c r="AK59" s="171">
        <v>6</v>
      </c>
      <c r="AL59" s="171">
        <f t="shared" si="10"/>
        <v>542</v>
      </c>
      <c r="AM59" s="172">
        <f t="shared" si="11"/>
        <v>-2094830000</v>
      </c>
      <c r="AN59" s="171" t="s">
        <v>4059</v>
      </c>
    </row>
    <row r="60" spans="1:45">
      <c r="A60" s="63">
        <v>1400</v>
      </c>
      <c r="B60" s="11">
        <v>58</v>
      </c>
      <c r="C60" s="3">
        <f t="shared" si="4"/>
        <v>5711559.227391799</v>
      </c>
      <c r="D60" s="3">
        <f t="shared" si="5"/>
        <v>4639663.8655388169</v>
      </c>
      <c r="E60" s="3">
        <f t="shared" si="12"/>
        <v>617883306.24587286</v>
      </c>
      <c r="F60" s="3"/>
      <c r="G60" s="11"/>
      <c r="H60" s="11"/>
      <c r="K60" s="168" t="s">
        <v>599</v>
      </c>
      <c r="L60" s="113">
        <f>L16+L17+L25</f>
        <v>582392</v>
      </c>
      <c r="M60" s="113"/>
      <c r="N60" s="168"/>
      <c r="O60" s="115"/>
      <c r="P60" s="115" t="s">
        <v>25</v>
      </c>
      <c r="Q60" s="169">
        <v>168846</v>
      </c>
      <c r="R60" s="168" t="s">
        <v>3687</v>
      </c>
      <c r="S60" s="197">
        <f>S59-30</f>
        <v>469</v>
      </c>
      <c r="T60" s="189" t="s">
        <v>4600</v>
      </c>
      <c r="U60" s="168">
        <v>172.2</v>
      </c>
      <c r="V60" s="168">
        <f t="shared" si="26"/>
        <v>236.77169753424658</v>
      </c>
      <c r="W60" s="32">
        <f t="shared" si="27"/>
        <v>241.50713148493153</v>
      </c>
      <c r="X60" s="32">
        <f t="shared" si="28"/>
        <v>246.24256543561646</v>
      </c>
      <c r="Y60" t="s">
        <v>25</v>
      </c>
      <c r="Z60" s="96">
        <v>10000</v>
      </c>
      <c r="AA60" s="96"/>
      <c r="AB60" s="96"/>
      <c r="AC60" s="96"/>
      <c r="AH60" s="20">
        <v>41</v>
      </c>
      <c r="AI60" s="117" t="s">
        <v>4063</v>
      </c>
      <c r="AJ60" s="117">
        <v>18800000</v>
      </c>
      <c r="AK60" s="20">
        <v>3</v>
      </c>
      <c r="AL60" s="99">
        <f t="shared" si="10"/>
        <v>536</v>
      </c>
      <c r="AM60" s="113">
        <f t="shared" si="11"/>
        <v>10076800000</v>
      </c>
      <c r="AN60" s="20"/>
    </row>
    <row r="61" spans="1:45">
      <c r="A61" s="63">
        <v>1400</v>
      </c>
      <c r="B61" s="11">
        <v>59</v>
      </c>
      <c r="C61" s="3">
        <f t="shared" si="4"/>
        <v>5768674.819665717</v>
      </c>
      <c r="D61" s="3">
        <f t="shared" si="5"/>
        <v>4686060.5041942047</v>
      </c>
      <c r="E61" s="3">
        <f t="shared" si="12"/>
        <v>631323586.68626177</v>
      </c>
      <c r="F61" s="3"/>
      <c r="G61" s="11"/>
      <c r="H61" s="11"/>
      <c r="K61" s="56" t="s">
        <v>714</v>
      </c>
      <c r="L61" s="1">
        <f>L59+N7</f>
        <v>3043347886.3971238</v>
      </c>
      <c r="O61" s="96"/>
      <c r="P61" s="96"/>
      <c r="Q61" s="169">
        <v>19918023</v>
      </c>
      <c r="R61" s="5" t="s">
        <v>4834</v>
      </c>
      <c r="S61" s="197">
        <f>S60-75</f>
        <v>394</v>
      </c>
      <c r="T61" s="189" t="s">
        <v>4836</v>
      </c>
      <c r="U61" s="213">
        <v>183</v>
      </c>
      <c r="V61" s="213">
        <f t="shared" si="26"/>
        <v>241.09272328767125</v>
      </c>
      <c r="W61" s="32">
        <f t="shared" si="27"/>
        <v>245.91457775342468</v>
      </c>
      <c r="X61" s="32">
        <f t="shared" si="28"/>
        <v>250.73643221917811</v>
      </c>
      <c r="Y61" t="s">
        <v>25</v>
      </c>
      <c r="Z61" s="96">
        <v>604</v>
      </c>
      <c r="AA61" s="96"/>
      <c r="AB61" s="96"/>
      <c r="AC61" s="96"/>
      <c r="AH61" s="20">
        <v>42</v>
      </c>
      <c r="AI61" s="117" t="s">
        <v>4080</v>
      </c>
      <c r="AJ61" s="117">
        <v>500000</v>
      </c>
      <c r="AK61" s="20">
        <v>1</v>
      </c>
      <c r="AL61" s="99">
        <f t="shared" si="10"/>
        <v>533</v>
      </c>
      <c r="AM61" s="113">
        <f t="shared" si="11"/>
        <v>266500000</v>
      </c>
      <c r="AN61" s="20"/>
    </row>
    <row r="62" spans="1:45">
      <c r="A62" s="63">
        <v>1400</v>
      </c>
      <c r="B62" s="11">
        <v>60</v>
      </c>
      <c r="C62" s="3">
        <f t="shared" si="4"/>
        <v>5826361.5678623738</v>
      </c>
      <c r="D62" s="3">
        <f t="shared" si="5"/>
        <v>4732921.1092361463</v>
      </c>
      <c r="E62" s="46">
        <f t="shared" si="12"/>
        <v>645043498.87861323</v>
      </c>
      <c r="F62" s="3"/>
      <c r="G62" s="11"/>
      <c r="H62" s="11"/>
      <c r="J62" s="114"/>
      <c r="M62" s="25"/>
      <c r="O62" t="s">
        <v>25</v>
      </c>
      <c r="Q62" s="169">
        <v>1200301</v>
      </c>
      <c r="R62" s="19" t="s">
        <v>4920</v>
      </c>
      <c r="S62" s="197">
        <f>S61-34</f>
        <v>360</v>
      </c>
      <c r="T62" s="189" t="s">
        <v>4922</v>
      </c>
      <c r="U62" s="213">
        <v>218.5</v>
      </c>
      <c r="V62" s="213">
        <f t="shared" si="26"/>
        <v>282.16311780821923</v>
      </c>
      <c r="W62" s="32">
        <f t="shared" si="27"/>
        <v>287.8063801643836</v>
      </c>
      <c r="X62" s="32">
        <f t="shared" si="28"/>
        <v>293.44964252054803</v>
      </c>
      <c r="Y62" t="s">
        <v>25</v>
      </c>
      <c r="Z62" s="96">
        <v>1094</v>
      </c>
      <c r="AA62" s="96"/>
      <c r="AB62" s="96"/>
      <c r="AC62" s="96"/>
      <c r="AH62" s="20">
        <v>43</v>
      </c>
      <c r="AI62" s="117" t="s">
        <v>4084</v>
      </c>
      <c r="AJ62" s="117">
        <v>200000</v>
      </c>
      <c r="AK62" s="20">
        <v>3</v>
      </c>
      <c r="AL62" s="99">
        <f>AL63+AK62</f>
        <v>532</v>
      </c>
      <c r="AM62" s="113">
        <f t="shared" si="11"/>
        <v>106400000</v>
      </c>
      <c r="AN62" s="20"/>
    </row>
    <row r="63" spans="1:45">
      <c r="E63" s="26"/>
      <c r="M63" s="25" t="s">
        <v>4076</v>
      </c>
      <c r="N63" s="277" t="s">
        <v>5298</v>
      </c>
      <c r="O63" s="96" t="s">
        <v>25</v>
      </c>
      <c r="P63" s="115"/>
      <c r="Q63" s="169">
        <v>6135206</v>
      </c>
      <c r="R63" s="19" t="s">
        <v>4949</v>
      </c>
      <c r="S63" s="197">
        <f>S62-16</f>
        <v>344</v>
      </c>
      <c r="T63" s="189" t="s">
        <v>4950</v>
      </c>
      <c r="U63" s="213">
        <v>196.2</v>
      </c>
      <c r="V63" s="213">
        <f t="shared" si="26"/>
        <v>250.95753863013701</v>
      </c>
      <c r="W63" s="32">
        <f t="shared" si="27"/>
        <v>255.97668940273977</v>
      </c>
      <c r="X63" s="32">
        <f t="shared" si="28"/>
        <v>260.99584017534249</v>
      </c>
      <c r="Y63" t="s">
        <v>25</v>
      </c>
      <c r="Z63" s="96">
        <v>976</v>
      </c>
      <c r="AA63" s="96"/>
      <c r="AB63" s="96"/>
      <c r="AC63" s="96"/>
      <c r="AH63" s="20">
        <v>44</v>
      </c>
      <c r="AI63" s="117" t="s">
        <v>4091</v>
      </c>
      <c r="AJ63" s="117">
        <v>1000000</v>
      </c>
      <c r="AK63" s="20">
        <v>3</v>
      </c>
      <c r="AL63" s="99">
        <f t="shared" si="10"/>
        <v>529</v>
      </c>
      <c r="AM63" s="113">
        <f t="shared" si="11"/>
        <v>529000000</v>
      </c>
      <c r="AN63" s="20"/>
    </row>
    <row r="64" spans="1:45">
      <c r="E64" s="26"/>
      <c r="M64" s="177"/>
      <c r="N64" s="96"/>
      <c r="O64" s="96"/>
      <c r="P64" s="115"/>
      <c r="Q64" s="169">
        <v>104578</v>
      </c>
      <c r="R64" s="19" t="s">
        <v>4967</v>
      </c>
      <c r="S64" s="197">
        <f>S63-9</f>
        <v>335</v>
      </c>
      <c r="T64" s="189" t="s">
        <v>4968</v>
      </c>
      <c r="U64" s="213">
        <v>199.8</v>
      </c>
      <c r="V64" s="213">
        <f t="shared" si="26"/>
        <v>254.18282301369865</v>
      </c>
      <c r="W64" s="32">
        <f t="shared" si="27"/>
        <v>259.26647947397265</v>
      </c>
      <c r="X64" s="32">
        <f t="shared" si="28"/>
        <v>264.35013593424662</v>
      </c>
      <c r="Y64" t="s">
        <v>25</v>
      </c>
      <c r="Z64" s="96">
        <v>108344</v>
      </c>
      <c r="AA64" s="96" t="s">
        <v>25</v>
      </c>
      <c r="AB64" s="96"/>
      <c r="AC64" s="96"/>
      <c r="AH64" s="20">
        <v>45</v>
      </c>
      <c r="AI64" s="117" t="s">
        <v>4103</v>
      </c>
      <c r="AJ64" s="117">
        <v>1300000</v>
      </c>
      <c r="AK64" s="20">
        <v>0</v>
      </c>
      <c r="AL64" s="99">
        <f>AL65+AK64</f>
        <v>526</v>
      </c>
      <c r="AM64" s="113">
        <f t="shared" si="11"/>
        <v>683800000</v>
      </c>
      <c r="AN64" s="20"/>
    </row>
    <row r="65" spans="1:40">
      <c r="M65" s="96" t="s">
        <v>4773</v>
      </c>
      <c r="N65" s="96"/>
      <c r="O65" s="96"/>
      <c r="Q65" s="169">
        <v>119253</v>
      </c>
      <c r="R65" s="19" t="s">
        <v>4971</v>
      </c>
      <c r="S65" s="197">
        <f>S64-3</f>
        <v>332</v>
      </c>
      <c r="T65" s="189" t="s">
        <v>4972</v>
      </c>
      <c r="U65" s="213">
        <v>199.5</v>
      </c>
      <c r="V65" s="213">
        <f t="shared" si="26"/>
        <v>253.34204383561647</v>
      </c>
      <c r="W65" s="32">
        <f t="shared" si="27"/>
        <v>258.40888471232881</v>
      </c>
      <c r="X65" s="32">
        <f t="shared" si="28"/>
        <v>263.47572558904113</v>
      </c>
      <c r="Y65" t="s">
        <v>25</v>
      </c>
      <c r="Z65" s="96">
        <v>5468</v>
      </c>
      <c r="AA65" s="96"/>
      <c r="AB65" s="96"/>
      <c r="AC65" s="96"/>
      <c r="AH65" s="20">
        <v>45</v>
      </c>
      <c r="AI65" s="117" t="s">
        <v>4103</v>
      </c>
      <c r="AJ65" s="117">
        <v>995000</v>
      </c>
      <c r="AK65" s="20">
        <v>2</v>
      </c>
      <c r="AL65" s="99">
        <f t="shared" ref="AL65:AL92" si="29">AL66+AK65</f>
        <v>526</v>
      </c>
      <c r="AM65" s="113">
        <f t="shared" si="11"/>
        <v>523370000</v>
      </c>
      <c r="AN65" s="20"/>
    </row>
    <row r="66" spans="1:40">
      <c r="M66" s="122" t="s">
        <v>4398</v>
      </c>
      <c r="O66" s="114"/>
      <c r="Q66" s="169">
        <v>2227488</v>
      </c>
      <c r="R66" s="19" t="s">
        <v>4988</v>
      </c>
      <c r="S66" s="197">
        <f>S65-9</f>
        <v>323</v>
      </c>
      <c r="T66" s="189" t="s">
        <v>5466</v>
      </c>
      <c r="U66" s="213">
        <v>200</v>
      </c>
      <c r="V66" s="213">
        <f t="shared" si="26"/>
        <v>252.59616438356164</v>
      </c>
      <c r="W66" s="32">
        <f t="shared" si="27"/>
        <v>257.64808767123287</v>
      </c>
      <c r="X66" s="32">
        <f t="shared" si="28"/>
        <v>262.7000109589041</v>
      </c>
      <c r="Y66" t="s">
        <v>25</v>
      </c>
      <c r="Z66" s="96">
        <v>31131</v>
      </c>
      <c r="AA66" s="96"/>
      <c r="AB66" s="96"/>
      <c r="AC66" s="96"/>
      <c r="AH66" s="20">
        <v>46</v>
      </c>
      <c r="AI66" s="117" t="s">
        <v>4113</v>
      </c>
      <c r="AJ66" s="117">
        <v>13000000</v>
      </c>
      <c r="AK66" s="20">
        <v>2</v>
      </c>
      <c r="AL66" s="99">
        <f t="shared" si="29"/>
        <v>524</v>
      </c>
      <c r="AM66" s="113">
        <f t="shared" si="11"/>
        <v>6812000000</v>
      </c>
      <c r="AN66" s="20"/>
    </row>
    <row r="67" spans="1:40">
      <c r="A67" t="s">
        <v>25</v>
      </c>
      <c r="F67" t="s">
        <v>310</v>
      </c>
      <c r="G67" t="s">
        <v>4095</v>
      </c>
      <c r="M67" s="122" t="s">
        <v>4490</v>
      </c>
      <c r="N67" s="96"/>
      <c r="Q67" s="169">
        <v>6990657</v>
      </c>
      <c r="R67" s="19" t="s">
        <v>5460</v>
      </c>
      <c r="S67" s="197">
        <f>S66-265</f>
        <v>58</v>
      </c>
      <c r="T67" s="189" t="s">
        <v>5465</v>
      </c>
      <c r="U67" s="213">
        <v>7792.9</v>
      </c>
      <c r="V67" s="213">
        <f t="shared" si="26"/>
        <v>8258.0827539726033</v>
      </c>
      <c r="W67" s="32">
        <f t="shared" ref="W67:W75" si="30">V67*(1+$W$19/100)</f>
        <v>8423.2444090520548</v>
      </c>
      <c r="X67" s="32">
        <f t="shared" ref="X67:X75" si="31">V67*(1+$X$19/100)</f>
        <v>8588.4060641315082</v>
      </c>
      <c r="Y67" t="s">
        <v>25</v>
      </c>
      <c r="Z67" s="96">
        <v>521</v>
      </c>
      <c r="AA67" s="96"/>
      <c r="AB67" s="96"/>
      <c r="AC67" s="96"/>
      <c r="AH67" s="20">
        <v>47</v>
      </c>
      <c r="AI67" s="117" t="s">
        <v>4126</v>
      </c>
      <c r="AJ67" s="117">
        <v>-3100000</v>
      </c>
      <c r="AK67" s="20">
        <v>3</v>
      </c>
      <c r="AL67" s="99">
        <f t="shared" si="29"/>
        <v>522</v>
      </c>
      <c r="AM67" s="113">
        <f t="shared" si="11"/>
        <v>-1618200000</v>
      </c>
      <c r="AN67" s="20"/>
    </row>
    <row r="68" spans="1:40">
      <c r="F68" t="s">
        <v>4099</v>
      </c>
      <c r="G68" t="s">
        <v>4094</v>
      </c>
      <c r="M68" s="122" t="s">
        <v>4559</v>
      </c>
      <c r="N68" s="96"/>
      <c r="O68" s="278"/>
      <c r="P68" t="s">
        <v>25</v>
      </c>
      <c r="Q68" s="169">
        <v>4411104</v>
      </c>
      <c r="R68" s="19" t="s">
        <v>5467</v>
      </c>
      <c r="S68" s="197">
        <f>S67-2</f>
        <v>56</v>
      </c>
      <c r="T68" s="189" t="s">
        <v>5470</v>
      </c>
      <c r="U68" s="213">
        <v>8086.9</v>
      </c>
      <c r="V68" s="213">
        <f t="shared" si="26"/>
        <v>8557.225241643835</v>
      </c>
      <c r="W68" s="32">
        <f t="shared" si="30"/>
        <v>8728.369746476712</v>
      </c>
      <c r="X68" s="32">
        <f t="shared" si="31"/>
        <v>8899.5142513095889</v>
      </c>
      <c r="Y68" t="s">
        <v>25</v>
      </c>
      <c r="Z68" s="96">
        <v>595</v>
      </c>
      <c r="AA68" s="96" t="s">
        <v>25</v>
      </c>
      <c r="AB68" s="96"/>
      <c r="AC68" s="96"/>
      <c r="AH68" s="20">
        <v>48</v>
      </c>
      <c r="AI68" s="117" t="s">
        <v>4141</v>
      </c>
      <c r="AJ68" s="117">
        <v>45640000</v>
      </c>
      <c r="AK68" s="20">
        <v>1</v>
      </c>
      <c r="AL68" s="99">
        <f t="shared" si="29"/>
        <v>519</v>
      </c>
      <c r="AM68" s="113">
        <f t="shared" si="11"/>
        <v>23687160000</v>
      </c>
      <c r="AN68" s="20"/>
    </row>
    <row r="69" spans="1:40" ht="30">
      <c r="F69" t="s">
        <v>4100</v>
      </c>
      <c r="G69" t="s">
        <v>4096</v>
      </c>
      <c r="M69" s="206" t="s">
        <v>4669</v>
      </c>
      <c r="N69" s="96"/>
      <c r="P69" s="115"/>
      <c r="Q69" s="169">
        <v>451533</v>
      </c>
      <c r="R69" s="19" t="s">
        <v>5481</v>
      </c>
      <c r="S69" s="197">
        <f>S68-6</f>
        <v>50</v>
      </c>
      <c r="T69" s="189" t="s">
        <v>5488</v>
      </c>
      <c r="U69" s="213">
        <v>500.5</v>
      </c>
      <c r="V69" s="213">
        <f t="shared" si="26"/>
        <v>527.30486027397274</v>
      </c>
      <c r="W69" s="32">
        <f t="shared" si="30"/>
        <v>537.85095747945218</v>
      </c>
      <c r="X69" s="32">
        <f t="shared" si="31"/>
        <v>548.39705468493162</v>
      </c>
      <c r="Y69" s="122" t="s">
        <v>25</v>
      </c>
      <c r="Z69" s="96">
        <v>108667</v>
      </c>
      <c r="AA69" s="96"/>
      <c r="AB69" s="96"/>
      <c r="AC69" s="96"/>
      <c r="AH69" s="20">
        <v>49</v>
      </c>
      <c r="AI69" s="117" t="s">
        <v>4146</v>
      </c>
      <c r="AJ69" s="117">
        <v>33500000</v>
      </c>
      <c r="AK69" s="20">
        <v>1</v>
      </c>
      <c r="AL69" s="99">
        <f t="shared" si="29"/>
        <v>518</v>
      </c>
      <c r="AM69" s="113">
        <f t="shared" si="11"/>
        <v>17353000000</v>
      </c>
      <c r="AN69" s="20"/>
    </row>
    <row r="70" spans="1:40" ht="31.5">
      <c r="G70" t="s">
        <v>4097</v>
      </c>
      <c r="K70" s="212" t="s">
        <v>4712</v>
      </c>
      <c r="L70" s="22" t="s">
        <v>4690</v>
      </c>
      <c r="M70" s="255" t="s">
        <v>5005</v>
      </c>
      <c r="N70" s="96"/>
      <c r="P70" s="115" t="s">
        <v>25</v>
      </c>
      <c r="Q70" s="169">
        <v>124313</v>
      </c>
      <c r="R70" s="19" t="s">
        <v>5490</v>
      </c>
      <c r="S70" s="197">
        <f>S69-5</f>
        <v>45</v>
      </c>
      <c r="T70" s="189" t="s">
        <v>5491</v>
      </c>
      <c r="U70" s="213">
        <v>460</v>
      </c>
      <c r="V70" s="213">
        <f t="shared" si="26"/>
        <v>482.87145205479459</v>
      </c>
      <c r="W70" s="32">
        <f t="shared" si="30"/>
        <v>492.52888109589048</v>
      </c>
      <c r="X70" s="32">
        <f t="shared" si="31"/>
        <v>502.18631013698638</v>
      </c>
      <c r="Y70" s="122" t="s">
        <v>25</v>
      </c>
      <c r="Z70" t="s">
        <v>25</v>
      </c>
      <c r="AH70" s="20">
        <v>50</v>
      </c>
      <c r="AI70" s="117" t="s">
        <v>4151</v>
      </c>
      <c r="AJ70" s="117">
        <v>12000000</v>
      </c>
      <c r="AK70" s="20">
        <v>1</v>
      </c>
      <c r="AL70" s="99">
        <f t="shared" si="29"/>
        <v>517</v>
      </c>
      <c r="AM70" s="117">
        <f t="shared" si="11"/>
        <v>6204000000</v>
      </c>
      <c r="AN70" s="20"/>
    </row>
    <row r="71" spans="1:40">
      <c r="G71" t="s">
        <v>4098</v>
      </c>
      <c r="K71" t="s">
        <v>4713</v>
      </c>
      <c r="M71" s="122" t="s">
        <v>5248</v>
      </c>
      <c r="O71" t="s">
        <v>25</v>
      </c>
      <c r="P71" s="115"/>
      <c r="Q71" s="169">
        <v>371541</v>
      </c>
      <c r="R71" s="19" t="s">
        <v>5518</v>
      </c>
      <c r="S71" s="197">
        <f>S70-23</f>
        <v>22</v>
      </c>
      <c r="T71" s="189" t="s">
        <v>5519</v>
      </c>
      <c r="U71" s="213">
        <v>484.7</v>
      </c>
      <c r="V71" s="213">
        <f t="shared" si="26"/>
        <v>500.24758246575351</v>
      </c>
      <c r="W71" s="32">
        <f t="shared" si="30"/>
        <v>510.25253411506861</v>
      </c>
      <c r="X71" s="32">
        <f t="shared" si="31"/>
        <v>520.25748576438366</v>
      </c>
      <c r="Y71" s="122" t="s">
        <v>25</v>
      </c>
      <c r="AH71" s="20">
        <v>51</v>
      </c>
      <c r="AI71" s="117" t="s">
        <v>4156</v>
      </c>
      <c r="AJ71" s="117">
        <v>15500000</v>
      </c>
      <c r="AK71" s="20">
        <v>4</v>
      </c>
      <c r="AL71" s="99">
        <f t="shared" si="29"/>
        <v>516</v>
      </c>
      <c r="AM71" s="117">
        <f t="shared" si="11"/>
        <v>7998000000</v>
      </c>
      <c r="AN71" s="20"/>
    </row>
    <row r="72" spans="1:40">
      <c r="G72" t="s">
        <v>4102</v>
      </c>
      <c r="K72" t="s">
        <v>4562</v>
      </c>
      <c r="L72" s="96"/>
      <c r="M72" s="96">
        <f>O45+O21+O27-O52</f>
        <v>3112777</v>
      </c>
      <c r="N72" s="113">
        <f>M72*P45</f>
        <v>3251918131.9000001</v>
      </c>
      <c r="P72" s="116"/>
      <c r="Q72" s="169">
        <v>750391</v>
      </c>
      <c r="R72" s="19" t="s">
        <v>5559</v>
      </c>
      <c r="S72" s="197">
        <f>S71-16</f>
        <v>6</v>
      </c>
      <c r="T72" s="189" t="s">
        <v>5560</v>
      </c>
      <c r="U72" s="213">
        <v>9000</v>
      </c>
      <c r="V72" s="213">
        <f t="shared" si="26"/>
        <v>9178.2246575342469</v>
      </c>
      <c r="W72" s="32">
        <f t="shared" si="30"/>
        <v>9361.7891506849319</v>
      </c>
      <c r="X72" s="32">
        <f t="shared" si="31"/>
        <v>9545.3536438356168</v>
      </c>
      <c r="Y72" s="122" t="s">
        <v>25</v>
      </c>
      <c r="AH72" s="20">
        <v>52</v>
      </c>
      <c r="AI72" s="117" t="s">
        <v>4160</v>
      </c>
      <c r="AJ72" s="117">
        <v>150000</v>
      </c>
      <c r="AK72" s="20">
        <v>1</v>
      </c>
      <c r="AL72" s="99">
        <f t="shared" si="29"/>
        <v>512</v>
      </c>
      <c r="AM72" s="117">
        <f t="shared" si="11"/>
        <v>76800000</v>
      </c>
      <c r="AN72" s="20"/>
    </row>
    <row r="73" spans="1:40">
      <c r="G73" t="s">
        <v>4101</v>
      </c>
      <c r="K73" t="s">
        <v>4774</v>
      </c>
      <c r="M73" t="s">
        <v>4257</v>
      </c>
      <c r="P73" s="115"/>
      <c r="Q73" s="169">
        <v>1762750</v>
      </c>
      <c r="R73" s="19" t="s">
        <v>5571</v>
      </c>
      <c r="S73" s="197">
        <f>S72-6</f>
        <v>0</v>
      </c>
      <c r="T73" s="189" t="s">
        <v>5579</v>
      </c>
      <c r="U73" s="213">
        <v>10699.9</v>
      </c>
      <c r="V73" s="213">
        <f t="shared" si="26"/>
        <v>10862.538480000001</v>
      </c>
      <c r="W73" s="32">
        <f t="shared" si="30"/>
        <v>11079.7892496</v>
      </c>
      <c r="X73" s="32">
        <f t="shared" si="31"/>
        <v>11297.040019200002</v>
      </c>
      <c r="Y73" t="s">
        <v>25</v>
      </c>
      <c r="Z73" s="115"/>
      <c r="AH73" s="179">
        <v>53</v>
      </c>
      <c r="AI73" s="180" t="s">
        <v>4166</v>
      </c>
      <c r="AJ73" s="180">
        <v>29000000</v>
      </c>
      <c r="AK73" s="179">
        <v>15</v>
      </c>
      <c r="AL73" s="179">
        <f t="shared" si="29"/>
        <v>511</v>
      </c>
      <c r="AM73" s="180">
        <f t="shared" si="11"/>
        <v>14819000000</v>
      </c>
      <c r="AN73" s="179" t="s">
        <v>4176</v>
      </c>
    </row>
    <row r="74" spans="1:40">
      <c r="K74" t="s">
        <v>4775</v>
      </c>
      <c r="M74" t="s">
        <v>4564</v>
      </c>
      <c r="N74" t="s">
        <v>25</v>
      </c>
      <c r="P74" s="115"/>
      <c r="Q74" s="169"/>
      <c r="R74" s="19"/>
      <c r="S74" s="197"/>
      <c r="T74" s="189"/>
      <c r="U74" s="213"/>
      <c r="V74" s="213"/>
      <c r="W74" s="32"/>
      <c r="X74" s="32"/>
      <c r="Z74" s="122"/>
      <c r="AH74" s="20">
        <v>54</v>
      </c>
      <c r="AI74" s="117" t="s">
        <v>4200</v>
      </c>
      <c r="AJ74" s="117">
        <v>-130000</v>
      </c>
      <c r="AK74" s="20">
        <v>7</v>
      </c>
      <c r="AL74" s="99">
        <f t="shared" si="29"/>
        <v>496</v>
      </c>
      <c r="AM74" s="117">
        <f t="shared" si="11"/>
        <v>-64480000</v>
      </c>
      <c r="AN74" s="20" t="s">
        <v>4202</v>
      </c>
    </row>
    <row r="75" spans="1:40" ht="26.25">
      <c r="G75" s="48" t="s">
        <v>786</v>
      </c>
      <c r="H75" s="201" t="s">
        <v>476</v>
      </c>
      <c r="K75" t="s">
        <v>4776</v>
      </c>
      <c r="M75" s="252"/>
      <c r="Q75" s="169"/>
      <c r="R75" s="168"/>
      <c r="S75" s="113"/>
      <c r="T75" s="113"/>
      <c r="U75" s="168" t="s">
        <v>25</v>
      </c>
      <c r="V75" s="213" t="e">
        <f>U75*(1+$R$80+$Q$15*S75/36500)</f>
        <v>#VALUE!</v>
      </c>
      <c r="W75" s="32" t="e">
        <f t="shared" si="30"/>
        <v>#VALUE!</v>
      </c>
      <c r="X75" s="32" t="e">
        <f t="shared" si="31"/>
        <v>#VALUE!</v>
      </c>
      <c r="Z75" s="115"/>
      <c r="AH75" s="20">
        <v>55</v>
      </c>
      <c r="AI75" s="117" t="s">
        <v>4248</v>
      </c>
      <c r="AJ75" s="117">
        <v>232000</v>
      </c>
      <c r="AK75" s="20">
        <v>2</v>
      </c>
      <c r="AL75" s="99">
        <f t="shared" si="29"/>
        <v>489</v>
      </c>
      <c r="AM75" s="117">
        <f>AJ75*AL75</f>
        <v>113448000</v>
      </c>
      <c r="AN75" s="20" t="s">
        <v>4250</v>
      </c>
    </row>
    <row r="76" spans="1:40">
      <c r="D76" s="3"/>
      <c r="E76" s="11" t="s">
        <v>304</v>
      </c>
      <c r="G76" s="47">
        <v>700000</v>
      </c>
      <c r="H76" s="201" t="s">
        <v>1036</v>
      </c>
      <c r="K76" t="s">
        <v>4523</v>
      </c>
      <c r="M76" t="s">
        <v>4983</v>
      </c>
      <c r="Q76" s="113">
        <f>SUM(N26:N27)-SUM(Q55:Q75)</f>
        <v>157793554</v>
      </c>
      <c r="R76" s="168"/>
      <c r="S76" s="168"/>
      <c r="T76" s="168"/>
      <c r="U76" s="168"/>
      <c r="V76" s="168"/>
      <c r="W76" s="32"/>
      <c r="X76" s="32"/>
      <c r="Y76" s="122" t="s">
        <v>25</v>
      </c>
      <c r="Z76" s="115"/>
      <c r="AH76" s="20">
        <v>56</v>
      </c>
      <c r="AI76" s="117" t="s">
        <v>4259</v>
      </c>
      <c r="AJ76" s="117">
        <v>-170000</v>
      </c>
      <c r="AK76" s="20">
        <v>3</v>
      </c>
      <c r="AL76" s="99">
        <f t="shared" si="29"/>
        <v>487</v>
      </c>
      <c r="AM76" s="117">
        <f t="shared" si="11"/>
        <v>-82790000</v>
      </c>
      <c r="AN76" s="20"/>
    </row>
    <row r="77" spans="1:40">
      <c r="D77" s="1" t="s">
        <v>305</v>
      </c>
      <c r="E77" s="1">
        <v>70000</v>
      </c>
      <c r="G77" s="47">
        <v>500000</v>
      </c>
      <c r="H77" s="201" t="s">
        <v>479</v>
      </c>
      <c r="K77" t="s">
        <v>4566</v>
      </c>
      <c r="M77" s="257" t="s">
        <v>5010</v>
      </c>
      <c r="R77" s="115"/>
      <c r="S77" s="115"/>
      <c r="T77" s="115" t="s">
        <v>25</v>
      </c>
      <c r="U77" s="115" t="s">
        <v>25</v>
      </c>
      <c r="V77" s="115" t="s">
        <v>25</v>
      </c>
      <c r="W77" s="194" t="s">
        <v>25</v>
      </c>
      <c r="X77" s="194"/>
      <c r="Y77" t="s">
        <v>25</v>
      </c>
      <c r="Z77" s="122"/>
      <c r="AA77" t="s">
        <v>25</v>
      </c>
      <c r="AH77" s="20">
        <v>57</v>
      </c>
      <c r="AI77" s="117" t="s">
        <v>4273</v>
      </c>
      <c r="AJ77" s="117">
        <v>-300000</v>
      </c>
      <c r="AK77" s="20">
        <v>3</v>
      </c>
      <c r="AL77" s="99">
        <f t="shared" si="29"/>
        <v>484</v>
      </c>
      <c r="AM77" s="117">
        <f t="shared" si="11"/>
        <v>-145200000</v>
      </c>
      <c r="AN77" s="20"/>
    </row>
    <row r="78" spans="1:40">
      <c r="D78" s="1" t="s">
        <v>321</v>
      </c>
      <c r="E78" s="1">
        <v>100000</v>
      </c>
      <c r="G78" s="47">
        <v>180000</v>
      </c>
      <c r="H78" s="201" t="s">
        <v>558</v>
      </c>
      <c r="K78" t="s">
        <v>4522</v>
      </c>
      <c r="M78" s="257" t="s">
        <v>5011</v>
      </c>
      <c r="Q78" s="99" t="s">
        <v>946</v>
      </c>
      <c r="R78" s="99">
        <v>1.03E-2</v>
      </c>
      <c r="S78" s="26" t="s">
        <v>25</v>
      </c>
      <c r="T78" t="s">
        <v>25</v>
      </c>
      <c r="U78" s="96" t="s">
        <v>25</v>
      </c>
      <c r="V78" s="115" t="s">
        <v>25</v>
      </c>
      <c r="W78" s="194" t="s">
        <v>25</v>
      </c>
      <c r="X78" s="194"/>
      <c r="Z78" s="122"/>
      <c r="AD78" s="115"/>
      <c r="AE78" s="115"/>
      <c r="AH78" s="20">
        <v>58</v>
      </c>
      <c r="AI78" s="117" t="s">
        <v>4282</v>
      </c>
      <c r="AJ78" s="117">
        <v>-11400000</v>
      </c>
      <c r="AK78" s="20">
        <v>13</v>
      </c>
      <c r="AL78" s="99">
        <f t="shared" ref="AL78:AL83" si="32">AL79+AK78</f>
        <v>481</v>
      </c>
      <c r="AM78" s="117">
        <f t="shared" si="11"/>
        <v>-5483400000</v>
      </c>
      <c r="AN78" s="20"/>
    </row>
    <row r="79" spans="1:40">
      <c r="D79" s="1" t="s">
        <v>306</v>
      </c>
      <c r="E79" s="1">
        <v>80000</v>
      </c>
      <c r="G79" s="47">
        <v>0</v>
      </c>
      <c r="H79" s="201" t="s">
        <v>782</v>
      </c>
      <c r="K79" s="22" t="s">
        <v>4233</v>
      </c>
      <c r="Q79" s="99" t="s">
        <v>61</v>
      </c>
      <c r="R79" s="99">
        <v>4.8999999999999998E-3</v>
      </c>
      <c r="T79" s="114" t="s">
        <v>25</v>
      </c>
      <c r="U79" s="96" t="s">
        <v>25</v>
      </c>
      <c r="V79" t="s">
        <v>25</v>
      </c>
      <c r="W79" s="194" t="s">
        <v>25</v>
      </c>
      <c r="X79" s="194"/>
      <c r="Z79" s="122"/>
      <c r="AC79" s="115"/>
      <c r="AD79" s="115"/>
      <c r="AE79" s="115"/>
      <c r="AF79"/>
      <c r="AH79" s="20">
        <v>59</v>
      </c>
      <c r="AI79" s="117" t="s">
        <v>4336</v>
      </c>
      <c r="AJ79" s="117">
        <v>-10000000</v>
      </c>
      <c r="AK79" s="20">
        <v>1</v>
      </c>
      <c r="AL79" s="99">
        <f t="shared" si="32"/>
        <v>468</v>
      </c>
      <c r="AM79" s="117">
        <f>AJ79*AL79</f>
        <v>-4680000000</v>
      </c>
      <c r="AN79" s="20"/>
    </row>
    <row r="80" spans="1:40">
      <c r="D80" s="31" t="s">
        <v>307</v>
      </c>
      <c r="E80" s="1">
        <v>150000</v>
      </c>
      <c r="G80" s="47">
        <v>0</v>
      </c>
      <c r="H80" s="201" t="s">
        <v>783</v>
      </c>
      <c r="J80" t="s">
        <v>25</v>
      </c>
      <c r="K80" t="s">
        <v>4519</v>
      </c>
      <c r="Q80" s="99" t="s">
        <v>6</v>
      </c>
      <c r="R80" s="99">
        <f>R78+R79</f>
        <v>1.52E-2</v>
      </c>
      <c r="T80" t="s">
        <v>25</v>
      </c>
      <c r="U80" s="96" t="s">
        <v>25</v>
      </c>
      <c r="V80" t="s">
        <v>25</v>
      </c>
      <c r="W80" s="194"/>
      <c r="X80" s="194"/>
      <c r="Z80" s="122"/>
      <c r="AC80" s="115"/>
      <c r="AD80" s="115"/>
      <c r="AE80" s="115"/>
      <c r="AF80"/>
      <c r="AH80" s="20">
        <v>60</v>
      </c>
      <c r="AI80" s="117" t="s">
        <v>4337</v>
      </c>
      <c r="AJ80" s="117">
        <v>-2450000</v>
      </c>
      <c r="AK80" s="20">
        <v>5</v>
      </c>
      <c r="AL80" s="99">
        <f t="shared" si="32"/>
        <v>467</v>
      </c>
      <c r="AM80" s="117">
        <f>AJ80*AL80</f>
        <v>-1144150000</v>
      </c>
      <c r="AN80" s="20"/>
    </row>
    <row r="81" spans="4:52">
      <c r="D81" s="31" t="s">
        <v>308</v>
      </c>
      <c r="E81" s="1">
        <v>300000</v>
      </c>
      <c r="G81" s="47">
        <v>500000</v>
      </c>
      <c r="H81" s="48" t="s">
        <v>784</v>
      </c>
      <c r="K81" t="s">
        <v>4286</v>
      </c>
      <c r="W81" s="194"/>
      <c r="X81" s="194"/>
      <c r="Z81" s="122"/>
      <c r="AA81" t="s">
        <v>25</v>
      </c>
      <c r="AD81" s="115"/>
      <c r="AE81" s="115"/>
      <c r="AF81" s="115"/>
      <c r="AH81" s="20">
        <v>61</v>
      </c>
      <c r="AI81" s="117" t="s">
        <v>4361</v>
      </c>
      <c r="AJ81" s="117">
        <v>-456081</v>
      </c>
      <c r="AK81" s="20">
        <v>1</v>
      </c>
      <c r="AL81" s="99">
        <f t="shared" si="32"/>
        <v>462</v>
      </c>
      <c r="AM81" s="117">
        <f t="shared" si="11"/>
        <v>-210709422</v>
      </c>
      <c r="AN81" s="20"/>
    </row>
    <row r="82" spans="4:52" ht="30">
      <c r="D82" s="31" t="s">
        <v>309</v>
      </c>
      <c r="E82" s="1">
        <v>100000</v>
      </c>
      <c r="G82" s="47">
        <v>75000</v>
      </c>
      <c r="H82" s="48" t="s">
        <v>785</v>
      </c>
      <c r="K82" t="s">
        <v>25</v>
      </c>
      <c r="M82" s="193" t="s">
        <v>4518</v>
      </c>
      <c r="Q82" s="73" t="s">
        <v>4285</v>
      </c>
      <c r="R82" s="112"/>
      <c r="S82" s="112"/>
      <c r="T82" s="112"/>
      <c r="U82" s="168" t="s">
        <v>4352</v>
      </c>
      <c r="V82" s="36" t="s">
        <v>4354</v>
      </c>
      <c r="W82" s="32"/>
      <c r="X82" s="32"/>
      <c r="Y82" s="96" t="s">
        <v>25</v>
      </c>
      <c r="Z82" s="122"/>
      <c r="AA82" s="115"/>
      <c r="AB82" s="115"/>
      <c r="AC82" s="115"/>
      <c r="AD82" s="115"/>
      <c r="AE82" s="115"/>
      <c r="AF82" s="115"/>
      <c r="AH82" s="20">
        <v>62</v>
      </c>
      <c r="AI82" s="117" t="s">
        <v>4363</v>
      </c>
      <c r="AJ82" s="117">
        <v>-500000</v>
      </c>
      <c r="AK82" s="20">
        <v>2</v>
      </c>
      <c r="AL82" s="99">
        <f t="shared" si="32"/>
        <v>461</v>
      </c>
      <c r="AM82" s="117">
        <f t="shared" si="11"/>
        <v>-230500000</v>
      </c>
      <c r="AN82" s="20"/>
      <c r="AO82" t="s">
        <v>25</v>
      </c>
      <c r="AU82"/>
      <c r="AW82" t="s">
        <v>25</v>
      </c>
    </row>
    <row r="83" spans="4:52">
      <c r="D83" s="31" t="s">
        <v>310</v>
      </c>
      <c r="E83" s="1">
        <v>200000</v>
      </c>
      <c r="G83" s="47">
        <v>0</v>
      </c>
      <c r="H83" s="48" t="s">
        <v>787</v>
      </c>
      <c r="K83" s="96"/>
      <c r="M83" t="s">
        <v>4519</v>
      </c>
      <c r="Q83" s="112" t="s">
        <v>267</v>
      </c>
      <c r="R83" s="112" t="s">
        <v>180</v>
      </c>
      <c r="S83" s="112" t="s">
        <v>183</v>
      </c>
      <c r="T83" s="112" t="s">
        <v>8</v>
      </c>
      <c r="U83" s="168"/>
      <c r="V83" s="99"/>
      <c r="W83" s="32">
        <v>2</v>
      </c>
      <c r="X83" s="32">
        <v>4</v>
      </c>
      <c r="Y83" s="96" t="s">
        <v>25</v>
      </c>
      <c r="AA83" s="115"/>
      <c r="AB83" s="115"/>
      <c r="AC83" s="128"/>
      <c r="AD83" s="115"/>
      <c r="AE83" s="115"/>
      <c r="AF83" s="115"/>
      <c r="AH83" s="20">
        <v>63</v>
      </c>
      <c r="AI83" s="117" t="s">
        <v>4381</v>
      </c>
      <c r="AJ83" s="117">
        <v>-6234370</v>
      </c>
      <c r="AK83" s="20">
        <v>3</v>
      </c>
      <c r="AL83" s="99">
        <f t="shared" si="32"/>
        <v>459</v>
      </c>
      <c r="AM83" s="117">
        <f t="shared" si="11"/>
        <v>-2861575830</v>
      </c>
      <c r="AN83" s="20"/>
      <c r="AU83"/>
    </row>
    <row r="84" spans="4:52">
      <c r="D84" s="18" t="s">
        <v>311</v>
      </c>
      <c r="E84" s="18">
        <v>300000</v>
      </c>
      <c r="G84" s="47">
        <v>500000</v>
      </c>
      <c r="H84" s="48" t="s">
        <v>564</v>
      </c>
      <c r="J84">
        <v>0</v>
      </c>
      <c r="K84" s="96"/>
      <c r="M84" t="s">
        <v>4522</v>
      </c>
      <c r="Q84" s="35">
        <v>184971545</v>
      </c>
      <c r="R84" s="5" t="s">
        <v>4166</v>
      </c>
      <c r="S84" s="5">
        <v>584</v>
      </c>
      <c r="T84" s="5" t="s">
        <v>4335</v>
      </c>
      <c r="U84" s="168">
        <v>192</v>
      </c>
      <c r="V84" s="99">
        <f t="shared" ref="V84:V115" si="33">U84*(1+$R$80+$Q$15*S84/36500)</f>
        <v>280.93439999999998</v>
      </c>
      <c r="W84" s="32">
        <f t="shared" ref="W84:W99" si="34">V84*(1+$W$19/100)</f>
        <v>286.553088</v>
      </c>
      <c r="X84" s="32">
        <f t="shared" ref="X84:X99" si="35">V84*(1+$X$19/100)</f>
        <v>292.17177599999997</v>
      </c>
      <c r="Y84" s="96" t="s">
        <v>25</v>
      </c>
      <c r="AA84" s="115"/>
      <c r="AB84" s="115"/>
      <c r="AC84" s="128"/>
      <c r="AD84" s="115"/>
      <c r="AE84" s="115"/>
      <c r="AF84" s="115"/>
      <c r="AH84" s="20">
        <v>64</v>
      </c>
      <c r="AI84" s="117" t="s">
        <v>4391</v>
      </c>
      <c r="AJ84" s="117">
        <v>1950957</v>
      </c>
      <c r="AK84" s="20">
        <v>4</v>
      </c>
      <c r="AL84" s="99">
        <f t="shared" si="29"/>
        <v>456</v>
      </c>
      <c r="AM84" s="117">
        <f t="shared" si="11"/>
        <v>889636392</v>
      </c>
      <c r="AN84" s="20"/>
      <c r="AZ84" t="s">
        <v>25</v>
      </c>
    </row>
    <row r="85" spans="4:52">
      <c r="D85" s="32" t="s">
        <v>312</v>
      </c>
      <c r="E85" s="1">
        <v>200000</v>
      </c>
      <c r="G85" s="47">
        <v>50000</v>
      </c>
      <c r="H85" s="48" t="s">
        <v>790</v>
      </c>
      <c r="K85" s="96"/>
      <c r="M85" t="s">
        <v>4523</v>
      </c>
      <c r="Q85" s="35">
        <v>9560464</v>
      </c>
      <c r="R85" s="5" t="s">
        <v>4289</v>
      </c>
      <c r="S85" s="5">
        <f>S84-31</f>
        <v>553</v>
      </c>
      <c r="T85" s="5" t="s">
        <v>4302</v>
      </c>
      <c r="U85" s="168">
        <v>214.57</v>
      </c>
      <c r="V85" s="99">
        <f t="shared" si="33"/>
        <v>308.85617304109593</v>
      </c>
      <c r="W85" s="32">
        <f t="shared" si="34"/>
        <v>315.03329650191785</v>
      </c>
      <c r="X85" s="32">
        <f t="shared" si="35"/>
        <v>321.21041996273976</v>
      </c>
      <c r="Y85" s="96" t="s">
        <v>25</v>
      </c>
      <c r="AA85" s="115"/>
      <c r="AB85" s="115"/>
      <c r="AC85" s="128"/>
      <c r="AD85" s="115"/>
      <c r="AE85" s="115"/>
      <c r="AF85" s="115"/>
      <c r="AH85" s="20">
        <v>65</v>
      </c>
      <c r="AI85" s="117" t="s">
        <v>4416</v>
      </c>
      <c r="AJ85" s="117">
        <v>600000</v>
      </c>
      <c r="AK85" s="20">
        <v>5</v>
      </c>
      <c r="AL85" s="99">
        <f t="shared" si="29"/>
        <v>452</v>
      </c>
      <c r="AM85" s="117">
        <f t="shared" si="11"/>
        <v>271200000</v>
      </c>
      <c r="AN85" s="20"/>
    </row>
    <row r="86" spans="4:52">
      <c r="D86" s="32" t="s">
        <v>313</v>
      </c>
      <c r="E86" s="1">
        <v>20000</v>
      </c>
      <c r="G86" s="47">
        <v>140000</v>
      </c>
      <c r="H86" s="48" t="s">
        <v>314</v>
      </c>
      <c r="K86" s="96"/>
      <c r="M86" s="96"/>
      <c r="N86" s="96"/>
      <c r="Q86" s="35">
        <v>2000000</v>
      </c>
      <c r="R86" s="5" t="s">
        <v>4332</v>
      </c>
      <c r="S86" s="5">
        <f>S85-11</f>
        <v>542</v>
      </c>
      <c r="T86" s="5" t="s">
        <v>4334</v>
      </c>
      <c r="U86" s="168">
        <v>206.8</v>
      </c>
      <c r="V86" s="99">
        <f t="shared" si="33"/>
        <v>295.92683397260276</v>
      </c>
      <c r="W86" s="32">
        <f t="shared" si="34"/>
        <v>301.84537065205484</v>
      </c>
      <c r="X86" s="32">
        <f t="shared" si="35"/>
        <v>307.76390733150691</v>
      </c>
      <c r="Y86" s="96" t="s">
        <v>25</v>
      </c>
      <c r="AA86" s="122" t="s">
        <v>25</v>
      </c>
      <c r="AB86" s="115"/>
      <c r="AC86" s="128"/>
      <c r="AD86" s="115"/>
      <c r="AE86" s="115"/>
      <c r="AF86" s="115"/>
      <c r="AH86" s="20">
        <v>66</v>
      </c>
      <c r="AI86" s="117" t="s">
        <v>4424</v>
      </c>
      <c r="AJ86" s="117">
        <v>7500000</v>
      </c>
      <c r="AK86" s="20">
        <v>2</v>
      </c>
      <c r="AL86" s="99">
        <f t="shared" si="29"/>
        <v>447</v>
      </c>
      <c r="AM86" s="117">
        <f t="shared" si="11"/>
        <v>3352500000</v>
      </c>
      <c r="AN86" s="20"/>
      <c r="AS86" s="96"/>
    </row>
    <row r="87" spans="4:52">
      <c r="D87" s="32" t="s">
        <v>315</v>
      </c>
      <c r="E87" s="1">
        <v>50000</v>
      </c>
      <c r="G87" s="47"/>
      <c r="H87" s="48" t="s">
        <v>25</v>
      </c>
      <c r="J87">
        <v>0</v>
      </c>
      <c r="K87" s="96"/>
      <c r="L87" s="96"/>
      <c r="M87" s="96"/>
      <c r="N87" s="96"/>
      <c r="Q87" s="35">
        <v>1429825</v>
      </c>
      <c r="R87" s="5" t="s">
        <v>4361</v>
      </c>
      <c r="S87" s="5">
        <f>S86-7</f>
        <v>535</v>
      </c>
      <c r="T87" s="5" t="s">
        <v>4370</v>
      </c>
      <c r="U87" s="168">
        <v>203.9</v>
      </c>
      <c r="V87" s="99">
        <f t="shared" si="33"/>
        <v>290.68207452054799</v>
      </c>
      <c r="W87" s="32">
        <f t="shared" si="34"/>
        <v>296.49571601095897</v>
      </c>
      <c r="X87" s="32">
        <f t="shared" si="35"/>
        <v>302.3093575013699</v>
      </c>
      <c r="Y87" s="122" t="s">
        <v>25</v>
      </c>
      <c r="AA87" s="115" t="s">
        <v>25</v>
      </c>
      <c r="AB87" s="115"/>
      <c r="AC87" s="128"/>
      <c r="AD87" s="115"/>
      <c r="AE87" s="115"/>
      <c r="AF87" s="115"/>
      <c r="AH87" s="20">
        <v>67</v>
      </c>
      <c r="AI87" s="117" t="s">
        <v>4429</v>
      </c>
      <c r="AJ87" s="117">
        <v>-587816</v>
      </c>
      <c r="AK87" s="20">
        <v>3</v>
      </c>
      <c r="AL87" s="99">
        <f t="shared" si="29"/>
        <v>445</v>
      </c>
      <c r="AM87" s="117">
        <f t="shared" si="11"/>
        <v>-261578120</v>
      </c>
      <c r="AN87" s="20"/>
      <c r="AS87" s="96"/>
    </row>
    <row r="88" spans="4:52">
      <c r="D88" s="32" t="s">
        <v>316</v>
      </c>
      <c r="E88" s="1">
        <v>90000</v>
      </c>
      <c r="G88" s="47">
        <f>SUM(G76:G87)</f>
        <v>2645000</v>
      </c>
      <c r="H88" s="48" t="s">
        <v>6</v>
      </c>
      <c r="K88" s="96"/>
      <c r="L88" s="96"/>
      <c r="Q88" s="35">
        <v>1420747</v>
      </c>
      <c r="R88" s="5" t="s">
        <v>4361</v>
      </c>
      <c r="S88" s="5">
        <f>S87</f>
        <v>535</v>
      </c>
      <c r="T88" s="5" t="s">
        <v>4372</v>
      </c>
      <c r="U88" s="168">
        <v>203.1</v>
      </c>
      <c r="V88" s="99">
        <f t="shared" si="33"/>
        <v>289.54158575342467</v>
      </c>
      <c r="W88" s="32">
        <f t="shared" si="34"/>
        <v>295.33241746849319</v>
      </c>
      <c r="X88" s="32">
        <f t="shared" si="35"/>
        <v>301.12324918356165</v>
      </c>
      <c r="Z88" s="115"/>
      <c r="AA88" s="115"/>
      <c r="AB88" s="115"/>
      <c r="AC88" s="128"/>
      <c r="AD88" s="115"/>
      <c r="AE88" s="115"/>
      <c r="AF88" s="115"/>
      <c r="AH88" s="20">
        <v>68</v>
      </c>
      <c r="AI88" s="117" t="s">
        <v>4428</v>
      </c>
      <c r="AJ88" s="117">
        <v>-907489</v>
      </c>
      <c r="AK88" s="20">
        <v>0</v>
      </c>
      <c r="AL88" s="99">
        <f>AL89+AK88</f>
        <v>442</v>
      </c>
      <c r="AM88" s="117">
        <f t="shared" si="11"/>
        <v>-401110138</v>
      </c>
      <c r="AN88" s="20"/>
      <c r="AP88" t="s">
        <v>25</v>
      </c>
      <c r="AV88" t="s">
        <v>25</v>
      </c>
    </row>
    <row r="89" spans="4:52">
      <c r="D89" s="32" t="s">
        <v>317</v>
      </c>
      <c r="E89" s="1">
        <v>50000</v>
      </c>
      <c r="K89" s="96"/>
      <c r="M89" t="s">
        <v>5265</v>
      </c>
      <c r="P89" t="s">
        <v>25</v>
      </c>
      <c r="Q89" s="35">
        <v>2010885</v>
      </c>
      <c r="R89" s="5" t="s">
        <v>4381</v>
      </c>
      <c r="S89" s="5">
        <f>S88-3</f>
        <v>532</v>
      </c>
      <c r="T89" s="5" t="s">
        <v>4386</v>
      </c>
      <c r="U89" s="168">
        <v>202.1</v>
      </c>
      <c r="V89" s="99">
        <f t="shared" si="33"/>
        <v>287.6508679452055</v>
      </c>
      <c r="W89" s="32">
        <f t="shared" si="34"/>
        <v>293.40388530410962</v>
      </c>
      <c r="X89" s="32">
        <f t="shared" si="35"/>
        <v>299.15690266301374</v>
      </c>
      <c r="Z89" s="115"/>
      <c r="AA89" s="115"/>
      <c r="AB89" s="115"/>
      <c r="AC89" s="115"/>
      <c r="AD89" s="115"/>
      <c r="AE89" s="115"/>
      <c r="AF89" s="115"/>
      <c r="AG89" s="115"/>
      <c r="AH89" s="20">
        <v>69</v>
      </c>
      <c r="AI89" s="117" t="s">
        <v>4428</v>
      </c>
      <c r="AJ89" s="117">
        <v>2450000</v>
      </c>
      <c r="AK89" s="20">
        <v>1</v>
      </c>
      <c r="AL89" s="99">
        <f t="shared" si="29"/>
        <v>442</v>
      </c>
      <c r="AM89" s="117">
        <f t="shared" si="11"/>
        <v>1082900000</v>
      </c>
      <c r="AN89" s="20" t="s">
        <v>4466</v>
      </c>
      <c r="AQ89" t="s">
        <v>25</v>
      </c>
      <c r="AR89" t="s">
        <v>25</v>
      </c>
    </row>
    <row r="90" spans="4:52">
      <c r="D90" s="32" t="s">
        <v>327</v>
      </c>
      <c r="E90" s="1">
        <v>150000</v>
      </c>
      <c r="F90" s="96"/>
      <c r="G90" s="96"/>
      <c r="H90" s="96"/>
      <c r="I90" s="96"/>
      <c r="J90" s="96"/>
      <c r="K90" s="96" t="s">
        <v>25</v>
      </c>
      <c r="M90" t="s">
        <v>5271</v>
      </c>
      <c r="P90" s="115"/>
      <c r="Q90" s="35">
        <v>1971103</v>
      </c>
      <c r="R90" s="5" t="s">
        <v>4402</v>
      </c>
      <c r="S90" s="5">
        <f>S89-4</f>
        <v>528</v>
      </c>
      <c r="T90" s="5" t="s">
        <v>4403</v>
      </c>
      <c r="U90" s="168">
        <v>196.2</v>
      </c>
      <c r="V90" s="99">
        <f t="shared" si="33"/>
        <v>278.65130301369862</v>
      </c>
      <c r="W90" s="32">
        <f t="shared" si="34"/>
        <v>284.22432907397263</v>
      </c>
      <c r="X90" s="32">
        <f t="shared" si="35"/>
        <v>289.79735513424657</v>
      </c>
      <c r="Z90" s="115"/>
      <c r="AA90" s="115"/>
      <c r="AB90" s="115"/>
      <c r="AC90" s="115"/>
      <c r="AD90" s="115"/>
      <c r="AE90"/>
      <c r="AG90" s="115"/>
      <c r="AH90" s="20">
        <v>70</v>
      </c>
      <c r="AI90" s="117" t="s">
        <v>4468</v>
      </c>
      <c r="AJ90" s="117">
        <v>1500000</v>
      </c>
      <c r="AK90" s="20">
        <v>1</v>
      </c>
      <c r="AL90" s="99">
        <f t="shared" si="29"/>
        <v>441</v>
      </c>
      <c r="AM90" s="117">
        <f t="shared" si="11"/>
        <v>661500000</v>
      </c>
      <c r="AN90" s="20"/>
      <c r="AP90" t="s">
        <v>25</v>
      </c>
      <c r="AU90" s="96" t="s">
        <v>25</v>
      </c>
    </row>
    <row r="91" spans="4:52">
      <c r="D91" s="32" t="s">
        <v>318</v>
      </c>
      <c r="E91" s="1">
        <v>15000</v>
      </c>
      <c r="F91" s="96"/>
      <c r="G91" s="96"/>
      <c r="H91" s="96"/>
      <c r="I91" s="96"/>
      <c r="J91" s="96" t="s">
        <v>25</v>
      </c>
      <c r="K91" s="96" t="s">
        <v>25</v>
      </c>
      <c r="L91" t="s">
        <v>25</v>
      </c>
      <c r="P91" s="128"/>
      <c r="Q91" s="35">
        <v>1049856</v>
      </c>
      <c r="R91" s="5" t="s">
        <v>4422</v>
      </c>
      <c r="S91" s="5">
        <f>S90-6</f>
        <v>522</v>
      </c>
      <c r="T91" s="5" t="s">
        <v>4460</v>
      </c>
      <c r="U91" s="168">
        <v>184.5</v>
      </c>
      <c r="V91" s="99">
        <f t="shared" si="33"/>
        <v>261.1852767123288</v>
      </c>
      <c r="W91" s="32">
        <f t="shared" si="34"/>
        <v>266.40898224657536</v>
      </c>
      <c r="X91" s="32">
        <f t="shared" si="35"/>
        <v>271.63268778082198</v>
      </c>
      <c r="Z91" s="115"/>
      <c r="AA91" s="115"/>
      <c r="AE91"/>
      <c r="AG91" s="96"/>
      <c r="AH91" s="20">
        <v>71</v>
      </c>
      <c r="AI91" s="117" t="s">
        <v>4474</v>
      </c>
      <c r="AJ91" s="117">
        <v>2648000</v>
      </c>
      <c r="AK91" s="20">
        <v>1</v>
      </c>
      <c r="AL91" s="99">
        <f t="shared" si="29"/>
        <v>440</v>
      </c>
      <c r="AM91" s="117">
        <f t="shared" si="11"/>
        <v>1165120000</v>
      </c>
      <c r="AN91" s="20" t="s">
        <v>4475</v>
      </c>
      <c r="AU91" s="96" t="s">
        <v>25</v>
      </c>
    </row>
    <row r="92" spans="4:52">
      <c r="D92" s="32" t="s">
        <v>319</v>
      </c>
      <c r="E92" s="1">
        <v>20000</v>
      </c>
      <c r="F92" s="96"/>
      <c r="G92" s="96"/>
      <c r="H92" s="96"/>
      <c r="I92" s="96" t="s">
        <v>25</v>
      </c>
      <c r="J92" s="96" t="s">
        <v>25</v>
      </c>
      <c r="K92" s="96" t="s">
        <v>25</v>
      </c>
      <c r="P92" s="128"/>
      <c r="Q92" s="35">
        <v>1783234</v>
      </c>
      <c r="R92" s="5" t="s">
        <v>4424</v>
      </c>
      <c r="S92" s="5">
        <f>S91-2</f>
        <v>520</v>
      </c>
      <c r="T92" s="5" t="s">
        <v>4425</v>
      </c>
      <c r="U92" s="168">
        <v>177.5</v>
      </c>
      <c r="V92" s="99">
        <f t="shared" si="33"/>
        <v>251.00347945205482</v>
      </c>
      <c r="W92" s="32">
        <f t="shared" si="34"/>
        <v>256.02354904109592</v>
      </c>
      <c r="X92" s="32">
        <f t="shared" si="35"/>
        <v>261.04361863013702</v>
      </c>
      <c r="Z92" s="115"/>
      <c r="AA92" s="115"/>
      <c r="AE92"/>
      <c r="AG92" s="96"/>
      <c r="AH92" s="20">
        <v>72</v>
      </c>
      <c r="AI92" s="117" t="s">
        <v>4222</v>
      </c>
      <c r="AJ92" s="117">
        <v>615000</v>
      </c>
      <c r="AK92" s="20">
        <v>4</v>
      </c>
      <c r="AL92" s="99">
        <f t="shared" si="29"/>
        <v>439</v>
      </c>
      <c r="AM92" s="117">
        <f t="shared" si="11"/>
        <v>269985000</v>
      </c>
      <c r="AN92" s="20"/>
      <c r="AV92" t="s">
        <v>25</v>
      </c>
    </row>
    <row r="93" spans="4:52">
      <c r="D93" s="32" t="s">
        <v>320</v>
      </c>
      <c r="E93" s="1">
        <v>40000</v>
      </c>
      <c r="F93" s="96"/>
      <c r="G93" s="96"/>
      <c r="H93" s="96"/>
      <c r="I93" s="96"/>
      <c r="J93" s="96" t="s">
        <v>25</v>
      </c>
      <c r="K93" s="96" t="s">
        <v>25</v>
      </c>
      <c r="M93" s="96"/>
      <c r="N93" s="96"/>
      <c r="P93" s="115"/>
      <c r="Q93" s="35">
        <v>1662335</v>
      </c>
      <c r="R93" s="5" t="s">
        <v>4428</v>
      </c>
      <c r="S93" s="5">
        <f>S92-5</f>
        <v>515</v>
      </c>
      <c r="T93" s="218" t="s">
        <v>4574</v>
      </c>
      <c r="U93" s="168">
        <v>190.3</v>
      </c>
      <c r="V93" s="99">
        <f t="shared" si="33"/>
        <v>268.3740942465754</v>
      </c>
      <c r="W93" s="32">
        <f t="shared" si="34"/>
        <v>273.74157613150692</v>
      </c>
      <c r="X93" s="32">
        <f t="shared" si="35"/>
        <v>279.10905801643844</v>
      </c>
      <c r="Z93" s="115"/>
      <c r="AA93" s="115"/>
      <c r="AE93"/>
      <c r="AG93" s="96"/>
      <c r="AH93" s="20">
        <v>73</v>
      </c>
      <c r="AI93" s="117" t="s">
        <v>4485</v>
      </c>
      <c r="AJ93" s="117">
        <v>14000000</v>
      </c>
      <c r="AK93" s="20">
        <v>2</v>
      </c>
      <c r="AL93" s="99">
        <f>AL94+AK93</f>
        <v>435</v>
      </c>
      <c r="AM93" s="117">
        <f t="shared" si="11"/>
        <v>6090000000</v>
      </c>
      <c r="AN93" s="20"/>
    </row>
    <row r="94" spans="4:52">
      <c r="D94" s="32" t="s">
        <v>322</v>
      </c>
      <c r="E94" s="1">
        <v>150000</v>
      </c>
      <c r="F94" s="96"/>
      <c r="G94" s="96"/>
      <c r="H94" s="96"/>
      <c r="I94" s="96"/>
      <c r="J94" s="96" t="s">
        <v>25</v>
      </c>
      <c r="K94" s="96" t="s">
        <v>25</v>
      </c>
      <c r="L94" s="96"/>
      <c r="M94" s="96"/>
      <c r="N94" s="96"/>
      <c r="Q94" s="35">
        <v>2272487</v>
      </c>
      <c r="R94" s="5" t="s">
        <v>4584</v>
      </c>
      <c r="S94" s="5">
        <f>S93-42</f>
        <v>473</v>
      </c>
      <c r="T94" s="5" t="s">
        <v>4585</v>
      </c>
      <c r="U94" s="168">
        <v>174.9</v>
      </c>
      <c r="V94" s="99">
        <f t="shared" si="33"/>
        <v>241.0208252054795</v>
      </c>
      <c r="W94" s="32">
        <f t="shared" si="34"/>
        <v>245.8412417095891</v>
      </c>
      <c r="X94" s="32">
        <f t="shared" si="35"/>
        <v>250.66165821369867</v>
      </c>
      <c r="Y94">
        <v>961521</v>
      </c>
      <c r="AH94" s="20">
        <v>74</v>
      </c>
      <c r="AI94" s="117" t="s">
        <v>4489</v>
      </c>
      <c r="AJ94" s="117">
        <v>1313000</v>
      </c>
      <c r="AK94" s="20">
        <v>0</v>
      </c>
      <c r="AL94" s="99">
        <f>AL95+AK94</f>
        <v>433</v>
      </c>
      <c r="AM94" s="117">
        <f t="shared" si="11"/>
        <v>568529000</v>
      </c>
      <c r="AN94" s="20"/>
      <c r="AQ94" t="s">
        <v>25</v>
      </c>
    </row>
    <row r="95" spans="4:52">
      <c r="D95" s="32" t="s">
        <v>324</v>
      </c>
      <c r="E95" s="1">
        <v>75000</v>
      </c>
      <c r="F95" s="96"/>
      <c r="G95" s="96"/>
      <c r="H95" s="96"/>
      <c r="I95" s="96"/>
      <c r="J95" s="96" t="s">
        <v>25</v>
      </c>
      <c r="K95" s="96"/>
      <c r="L95" s="96"/>
      <c r="M95" s="96"/>
      <c r="N95" s="96"/>
      <c r="Q95" s="35">
        <v>3975257</v>
      </c>
      <c r="R95" s="5" t="s">
        <v>4589</v>
      </c>
      <c r="S95" s="5">
        <f>S94-1</f>
        <v>472</v>
      </c>
      <c r="T95" s="5" t="s">
        <v>4590</v>
      </c>
      <c r="U95" s="168">
        <v>173</v>
      </c>
      <c r="V95" s="99">
        <f t="shared" si="33"/>
        <v>238.2698191780822</v>
      </c>
      <c r="W95" s="32">
        <f t="shared" si="34"/>
        <v>243.03521556164384</v>
      </c>
      <c r="X95" s="32">
        <f t="shared" si="35"/>
        <v>247.8006119452055</v>
      </c>
      <c r="Y95">
        <v>44349</v>
      </c>
      <c r="AH95" s="99">
        <v>75</v>
      </c>
      <c r="AI95" s="113" t="s">
        <v>4489</v>
      </c>
      <c r="AJ95" s="113">
        <v>2269000</v>
      </c>
      <c r="AK95" s="99">
        <v>1</v>
      </c>
      <c r="AL95" s="99">
        <f t="shared" ref="AL95:AL120" si="36">AL96+AK95</f>
        <v>433</v>
      </c>
      <c r="AM95" s="117">
        <f t="shared" si="11"/>
        <v>982477000</v>
      </c>
      <c r="AN95" s="99"/>
    </row>
    <row r="96" spans="4:52">
      <c r="D96" s="32" t="s">
        <v>314</v>
      </c>
      <c r="E96" s="1">
        <v>140000</v>
      </c>
      <c r="F96" s="96"/>
      <c r="G96" s="96"/>
      <c r="H96" s="96"/>
      <c r="I96" s="96"/>
      <c r="J96" s="96" t="s">
        <v>25</v>
      </c>
      <c r="K96" t="s">
        <v>25</v>
      </c>
      <c r="L96" s="96"/>
      <c r="M96" s="96"/>
      <c r="N96" s="96"/>
      <c r="Q96" s="35">
        <v>1031662</v>
      </c>
      <c r="R96" s="5" t="s">
        <v>4224</v>
      </c>
      <c r="S96" s="5">
        <f>S95-1</f>
        <v>471</v>
      </c>
      <c r="T96" s="5" t="s">
        <v>4592</v>
      </c>
      <c r="U96" s="168">
        <v>171.2</v>
      </c>
      <c r="V96" s="99">
        <f t="shared" si="33"/>
        <v>235.65937972602742</v>
      </c>
      <c r="W96" s="32">
        <f t="shared" si="34"/>
        <v>240.37256732054797</v>
      </c>
      <c r="X96" s="32">
        <f t="shared" si="35"/>
        <v>245.08575491506852</v>
      </c>
      <c r="Y96">
        <v>9625</v>
      </c>
      <c r="AH96" s="99">
        <v>76</v>
      </c>
      <c r="AI96" s="113" t="s">
        <v>4223</v>
      </c>
      <c r="AJ96" s="113">
        <v>750000</v>
      </c>
      <c r="AK96" s="99">
        <v>4</v>
      </c>
      <c r="AL96" s="99">
        <f t="shared" si="36"/>
        <v>432</v>
      </c>
      <c r="AM96" s="117">
        <f t="shared" si="11"/>
        <v>324000000</v>
      </c>
      <c r="AN96" s="99"/>
      <c r="AQ96" t="s">
        <v>25</v>
      </c>
    </row>
    <row r="97" spans="4:47">
      <c r="D97" s="2" t="s">
        <v>478</v>
      </c>
      <c r="E97" s="3">
        <v>1083333</v>
      </c>
      <c r="J97" t="s">
        <v>25</v>
      </c>
      <c r="Q97" s="35">
        <v>577500</v>
      </c>
      <c r="R97" s="5" t="s">
        <v>4224</v>
      </c>
      <c r="S97" s="5">
        <f>S96</f>
        <v>471</v>
      </c>
      <c r="T97" s="5" t="s">
        <v>4596</v>
      </c>
      <c r="U97" s="168">
        <v>175</v>
      </c>
      <c r="V97" s="99">
        <f t="shared" si="33"/>
        <v>240.8901369863014</v>
      </c>
      <c r="W97" s="32">
        <f t="shared" si="34"/>
        <v>245.70793972602743</v>
      </c>
      <c r="X97" s="32">
        <f t="shared" si="35"/>
        <v>250.52574246575347</v>
      </c>
      <c r="Y97">
        <v>6980</v>
      </c>
      <c r="AH97" s="99">
        <v>77</v>
      </c>
      <c r="AI97" s="113" t="s">
        <v>4496</v>
      </c>
      <c r="AJ97" s="113">
        <v>1900000</v>
      </c>
      <c r="AK97" s="99">
        <v>3</v>
      </c>
      <c r="AL97" s="99">
        <f t="shared" si="36"/>
        <v>428</v>
      </c>
      <c r="AM97" s="117">
        <f t="shared" si="11"/>
        <v>813200000</v>
      </c>
      <c r="AN97" s="99"/>
    </row>
    <row r="98" spans="4:47">
      <c r="D98" s="2"/>
      <c r="E98" s="3"/>
      <c r="Q98" s="35">
        <v>12636487</v>
      </c>
      <c r="R98" s="5" t="s">
        <v>3687</v>
      </c>
      <c r="S98" s="5">
        <f>S97-2</f>
        <v>469</v>
      </c>
      <c r="T98" s="5" t="s">
        <v>4599</v>
      </c>
      <c r="U98" s="168">
        <v>172.1</v>
      </c>
      <c r="V98" s="99">
        <f t="shared" si="33"/>
        <v>236.63419945205482</v>
      </c>
      <c r="W98" s="32">
        <f t="shared" si="34"/>
        <v>241.36688344109592</v>
      </c>
      <c r="X98" s="32">
        <f t="shared" si="35"/>
        <v>246.09956743013703</v>
      </c>
      <c r="Y98">
        <v>6963</v>
      </c>
      <c r="AH98" s="99">
        <v>78</v>
      </c>
      <c r="AI98" s="113" t="s">
        <v>4509</v>
      </c>
      <c r="AJ98" s="113">
        <v>6400000</v>
      </c>
      <c r="AK98" s="99">
        <v>1</v>
      </c>
      <c r="AL98" s="99">
        <f t="shared" si="36"/>
        <v>425</v>
      </c>
      <c r="AM98" s="117">
        <f t="shared" si="11"/>
        <v>2720000000</v>
      </c>
      <c r="AN98" s="99"/>
    </row>
    <row r="99" spans="4:47">
      <c r="D99" s="2"/>
      <c r="E99" s="3"/>
      <c r="F99" s="213" t="s">
        <v>4664</v>
      </c>
      <c r="G99" s="213" t="s">
        <v>938</v>
      </c>
      <c r="H99" s="213" t="s">
        <v>4657</v>
      </c>
      <c r="I99" s="213" t="s">
        <v>4656</v>
      </c>
      <c r="J99" s="32" t="s">
        <v>4524</v>
      </c>
      <c r="K99" s="213" t="s">
        <v>4650</v>
      </c>
      <c r="L99" s="32" t="s">
        <v>4652</v>
      </c>
      <c r="M99" s="32" t="s">
        <v>4627</v>
      </c>
      <c r="N99" s="213" t="s">
        <v>4628</v>
      </c>
      <c r="Q99" s="39">
        <v>11121445</v>
      </c>
      <c r="R99" s="5" t="s">
        <v>4602</v>
      </c>
      <c r="S99" s="5">
        <f>S98-3</f>
        <v>466</v>
      </c>
      <c r="T99" s="5" t="s">
        <v>4767</v>
      </c>
      <c r="U99" s="168">
        <v>171.8</v>
      </c>
      <c r="V99" s="99">
        <f t="shared" si="33"/>
        <v>235.82632986301374</v>
      </c>
      <c r="W99" s="32">
        <f t="shared" si="34"/>
        <v>240.54285646027401</v>
      </c>
      <c r="X99" s="32">
        <f t="shared" si="35"/>
        <v>245.25938305753431</v>
      </c>
      <c r="Y99" s="96">
        <v>0</v>
      </c>
      <c r="AH99" s="99">
        <v>79</v>
      </c>
      <c r="AI99" s="113" t="s">
        <v>4507</v>
      </c>
      <c r="AJ99" s="113">
        <v>5000</v>
      </c>
      <c r="AK99" s="99">
        <v>5</v>
      </c>
      <c r="AL99" s="99">
        <f t="shared" si="36"/>
        <v>424</v>
      </c>
      <c r="AM99" s="117">
        <f t="shared" si="11"/>
        <v>2120000</v>
      </c>
      <c r="AN99" s="99"/>
      <c r="AP99" t="s">
        <v>25</v>
      </c>
    </row>
    <row r="100" spans="4:47">
      <c r="D100" s="2" t="s">
        <v>6</v>
      </c>
      <c r="E100" s="3">
        <f>SUM(E77:E98)</f>
        <v>3383333</v>
      </c>
      <c r="F100" s="199">
        <f>$L$108/G100</f>
        <v>7016.3683354072937</v>
      </c>
      <c r="G100" s="199">
        <f>P45</f>
        <v>1044.7</v>
      </c>
      <c r="H100" s="199" t="s">
        <v>4757</v>
      </c>
      <c r="I100" s="199" t="s">
        <v>5407</v>
      </c>
      <c r="J100" s="214" t="s">
        <v>4233</v>
      </c>
      <c r="K100" s="199">
        <v>210</v>
      </c>
      <c r="L100" s="215">
        <f t="shared" ref="L100:L105" si="37">K100*$L$108</f>
        <v>1539300000</v>
      </c>
      <c r="M100" s="215">
        <f>N21+N27+N45+N40</f>
        <v>3321913031.9000006</v>
      </c>
      <c r="N100" s="183">
        <f>L100-M100</f>
        <v>-1782613031.9000006</v>
      </c>
      <c r="P100" s="96"/>
      <c r="Q100" s="169">
        <v>6150141</v>
      </c>
      <c r="R100" s="213" t="s">
        <v>4842</v>
      </c>
      <c r="S100" s="213">
        <f>S99-79</f>
        <v>387</v>
      </c>
      <c r="T100" s="213" t="s">
        <v>4848</v>
      </c>
      <c r="U100" s="213">
        <v>180.6</v>
      </c>
      <c r="V100" s="99">
        <f t="shared" si="33"/>
        <v>236.96105424657537</v>
      </c>
      <c r="W100" s="32">
        <f t="shared" ref="W100:W104" si="38">V100*(1+$W$19/100)</f>
        <v>241.70027533150687</v>
      </c>
      <c r="X100" s="32">
        <f t="shared" ref="X100:X104" si="39">V100*(1+$X$19/100)</f>
        <v>246.4394964164384</v>
      </c>
      <c r="Y100" s="96">
        <v>9904</v>
      </c>
      <c r="AH100" s="99">
        <v>80</v>
      </c>
      <c r="AI100" s="113" t="s">
        <v>4539</v>
      </c>
      <c r="AJ100" s="113">
        <v>-1750148</v>
      </c>
      <c r="AK100" s="99">
        <v>1</v>
      </c>
      <c r="AL100" s="99">
        <f t="shared" si="36"/>
        <v>419</v>
      </c>
      <c r="AM100" s="117">
        <f t="shared" si="11"/>
        <v>-733312012</v>
      </c>
      <c r="AN100" s="99"/>
    </row>
    <row r="101" spans="4:47">
      <c r="D101" s="2" t="s">
        <v>328</v>
      </c>
      <c r="E101" s="3">
        <f>E100/30</f>
        <v>112777.76666666666</v>
      </c>
      <c r="F101" s="213">
        <v>0</v>
      </c>
      <c r="G101" s="213">
        <v>0</v>
      </c>
      <c r="H101" s="213" t="s">
        <v>4924</v>
      </c>
      <c r="I101" s="213" t="s">
        <v>5408</v>
      </c>
      <c r="J101" s="32" t="s">
        <v>4383</v>
      </c>
      <c r="K101" s="213">
        <v>28</v>
      </c>
      <c r="L101" s="1">
        <f t="shared" si="37"/>
        <v>205240000</v>
      </c>
      <c r="M101" s="1">
        <f>N43+N26+N22</f>
        <v>2277751800</v>
      </c>
      <c r="N101" s="113">
        <f t="shared" ref="N101:N105" si="40">L101-M101</f>
        <v>-2072511800</v>
      </c>
      <c r="P101" s="96"/>
      <c r="Q101" s="169">
        <v>1399908</v>
      </c>
      <c r="R101" s="213" t="s">
        <v>4910</v>
      </c>
      <c r="S101" s="213">
        <f>S100-20</f>
        <v>367</v>
      </c>
      <c r="T101" s="213" t="s">
        <v>4911</v>
      </c>
      <c r="U101" s="213">
        <v>194</v>
      </c>
      <c r="V101" s="99">
        <f t="shared" si="33"/>
        <v>251.56644383561647</v>
      </c>
      <c r="W101" s="32">
        <f t="shared" si="38"/>
        <v>256.59777271232878</v>
      </c>
      <c r="X101" s="32">
        <f t="shared" si="39"/>
        <v>261.62910158904111</v>
      </c>
      <c r="Y101" s="96">
        <v>0</v>
      </c>
      <c r="AH101" s="99">
        <v>81</v>
      </c>
      <c r="AI101" s="113" t="s">
        <v>4542</v>
      </c>
      <c r="AJ101" s="113">
        <v>400000</v>
      </c>
      <c r="AK101" s="99">
        <v>0</v>
      </c>
      <c r="AL101" s="99">
        <f t="shared" si="36"/>
        <v>418</v>
      </c>
      <c r="AM101" s="117">
        <f t="shared" si="11"/>
        <v>167200000</v>
      </c>
      <c r="AN101" s="99"/>
    </row>
    <row r="102" spans="4:47">
      <c r="F102" s="199">
        <v>0</v>
      </c>
      <c r="G102" s="199">
        <v>0</v>
      </c>
      <c r="H102" s="199" t="s">
        <v>5049</v>
      </c>
      <c r="I102" s="199" t="s">
        <v>5409</v>
      </c>
      <c r="J102" s="214" t="s">
        <v>4379</v>
      </c>
      <c r="K102" s="199">
        <v>5</v>
      </c>
      <c r="L102" s="215">
        <f t="shared" si="37"/>
        <v>36650000</v>
      </c>
      <c r="M102" s="215">
        <f>N42+N23</f>
        <v>316401036.30000001</v>
      </c>
      <c r="N102" s="183">
        <f t="shared" si="40"/>
        <v>-279751036.30000001</v>
      </c>
      <c r="P102" s="96"/>
      <c r="Q102" s="169">
        <v>1204033</v>
      </c>
      <c r="R102" s="213" t="s">
        <v>4920</v>
      </c>
      <c r="S102" s="213">
        <f>S101-7</f>
        <v>360</v>
      </c>
      <c r="T102" s="213" t="s">
        <v>4923</v>
      </c>
      <c r="U102" s="213">
        <v>218.5</v>
      </c>
      <c r="V102" s="99">
        <f t="shared" si="33"/>
        <v>282.16311780821923</v>
      </c>
      <c r="W102" s="32">
        <f t="shared" si="38"/>
        <v>287.8063801643836</v>
      </c>
      <c r="X102" s="32">
        <f t="shared" si="39"/>
        <v>293.44964252054803</v>
      </c>
      <c r="Y102" s="96">
        <v>0</v>
      </c>
      <c r="AH102" s="99">
        <v>82</v>
      </c>
      <c r="AI102" s="113" t="s">
        <v>4542</v>
      </c>
      <c r="AJ102" s="113">
        <v>-2105421</v>
      </c>
      <c r="AK102" s="99">
        <v>1</v>
      </c>
      <c r="AL102" s="99">
        <f t="shared" si="36"/>
        <v>418</v>
      </c>
      <c r="AM102" s="117">
        <f t="shared" si="11"/>
        <v>-880065978</v>
      </c>
      <c r="AN102" s="99"/>
      <c r="AO102" t="s">
        <v>25</v>
      </c>
    </row>
    <row r="103" spans="4:47">
      <c r="F103" s="189"/>
      <c r="G103" s="189"/>
      <c r="H103" s="189"/>
      <c r="I103" s="189"/>
      <c r="J103" s="281" t="s">
        <v>5410</v>
      </c>
      <c r="K103" s="189">
        <v>0</v>
      </c>
      <c r="L103" s="282">
        <f t="shared" si="37"/>
        <v>0</v>
      </c>
      <c r="M103" s="282">
        <f>N20+N25+N38</f>
        <v>15102803</v>
      </c>
      <c r="N103" s="188">
        <f>L103-M103</f>
        <v>-15102803</v>
      </c>
      <c r="P103" s="96"/>
      <c r="Q103" s="169">
        <v>8382674</v>
      </c>
      <c r="R103" s="213" t="s">
        <v>4930</v>
      </c>
      <c r="S103" s="213">
        <f>S102-7</f>
        <v>353</v>
      </c>
      <c r="T103" s="213" t="s">
        <v>4936</v>
      </c>
      <c r="U103" s="213">
        <v>192</v>
      </c>
      <c r="V103" s="99">
        <f t="shared" si="33"/>
        <v>246.91094794520549</v>
      </c>
      <c r="W103" s="32">
        <f t="shared" si="38"/>
        <v>251.84916690410961</v>
      </c>
      <c r="X103" s="32">
        <f t="shared" si="39"/>
        <v>256.7873858630137</v>
      </c>
      <c r="Y103" s="96">
        <v>10000</v>
      </c>
      <c r="AH103" s="99">
        <v>83</v>
      </c>
      <c r="AI103" s="113" t="s">
        <v>4545</v>
      </c>
      <c r="AJ103" s="113">
        <v>-5527618</v>
      </c>
      <c r="AK103" s="99">
        <v>0</v>
      </c>
      <c r="AL103" s="99">
        <f t="shared" si="36"/>
        <v>417</v>
      </c>
      <c r="AM103" s="117">
        <f t="shared" si="11"/>
        <v>-2305016706</v>
      </c>
      <c r="AN103" s="99"/>
    </row>
    <row r="104" spans="4:47">
      <c r="F104" s="199"/>
      <c r="G104" s="199"/>
      <c r="H104" s="199"/>
      <c r="I104" s="199"/>
      <c r="J104" s="214" t="s">
        <v>314</v>
      </c>
      <c r="K104" s="199">
        <v>1</v>
      </c>
      <c r="L104" s="215">
        <f t="shared" si="37"/>
        <v>7330000</v>
      </c>
      <c r="M104" s="215">
        <v>0</v>
      </c>
      <c r="N104" s="183">
        <f>L104-M104</f>
        <v>7330000</v>
      </c>
      <c r="Q104" s="169">
        <v>104750654</v>
      </c>
      <c r="R104" s="213" t="s">
        <v>4949</v>
      </c>
      <c r="S104" s="213">
        <f>S103-9</f>
        <v>344</v>
      </c>
      <c r="T104" s="213" t="s">
        <v>5586</v>
      </c>
      <c r="U104" s="213">
        <v>193.6</v>
      </c>
      <c r="V104" s="99">
        <f t="shared" si="33"/>
        <v>247.63190356164387</v>
      </c>
      <c r="W104" s="32">
        <f t="shared" si="38"/>
        <v>252.58454163287675</v>
      </c>
      <c r="X104" s="32">
        <f t="shared" si="39"/>
        <v>257.53717970410963</v>
      </c>
      <c r="Y104" s="96">
        <v>5664</v>
      </c>
      <c r="AH104" s="99">
        <v>84</v>
      </c>
      <c r="AI104" s="113" t="s">
        <v>4545</v>
      </c>
      <c r="AJ104" s="113">
        <v>3900000</v>
      </c>
      <c r="AK104" s="99">
        <v>3</v>
      </c>
      <c r="AL104" s="99">
        <f t="shared" si="36"/>
        <v>417</v>
      </c>
      <c r="AM104" s="117">
        <f t="shared" si="11"/>
        <v>1626300000</v>
      </c>
      <c r="AN104" s="99"/>
    </row>
    <row r="105" spans="4:47">
      <c r="F105" s="191"/>
      <c r="G105" s="191"/>
      <c r="H105" s="191"/>
      <c r="I105" s="191"/>
      <c r="J105" s="253" t="s">
        <v>5547</v>
      </c>
      <c r="K105" s="191">
        <v>560</v>
      </c>
      <c r="L105" s="254">
        <f t="shared" si="37"/>
        <v>4104800000</v>
      </c>
      <c r="M105" s="254">
        <v>0</v>
      </c>
      <c r="N105" s="86">
        <f t="shared" si="40"/>
        <v>4104800000</v>
      </c>
      <c r="Q105" s="169">
        <v>7032.8</v>
      </c>
      <c r="R105" s="213" t="s">
        <v>5330</v>
      </c>
      <c r="S105" s="213">
        <f>S104-240</f>
        <v>104</v>
      </c>
      <c r="T105" s="213" t="s">
        <v>5338</v>
      </c>
      <c r="U105" s="213">
        <v>7001.1</v>
      </c>
      <c r="V105" s="99">
        <f t="shared" si="33"/>
        <v>7666.0702323287678</v>
      </c>
      <c r="W105" s="32">
        <f t="shared" ref="W105:W112" si="41">V105*(1+$W$19/100)</f>
        <v>7819.3916369753433</v>
      </c>
      <c r="X105" s="32">
        <f t="shared" ref="X105:X112" si="42">V105*(1+$X$19/100)</f>
        <v>7972.7130416219188</v>
      </c>
      <c r="Y105" s="96">
        <v>10000</v>
      </c>
      <c r="AH105" s="99">
        <v>85</v>
      </c>
      <c r="AI105" s="113" t="s">
        <v>4546</v>
      </c>
      <c r="AJ105" s="113">
        <v>-3969754</v>
      </c>
      <c r="AK105" s="99">
        <v>1</v>
      </c>
      <c r="AL105" s="99">
        <f t="shared" si="36"/>
        <v>414</v>
      </c>
      <c r="AM105" s="117">
        <f t="shared" si="11"/>
        <v>-1643478156</v>
      </c>
      <c r="AN105" s="99"/>
    </row>
    <row r="106" spans="4:47">
      <c r="F106" s="213"/>
      <c r="G106" s="213"/>
      <c r="H106" s="213"/>
      <c r="I106" s="213"/>
      <c r="J106" s="32" t="s">
        <v>4732</v>
      </c>
      <c r="K106" s="213"/>
      <c r="L106" s="1"/>
      <c r="M106" s="1"/>
      <c r="N106" s="113">
        <f>20000000-L39</f>
        <v>39000000</v>
      </c>
      <c r="O106" t="s">
        <v>25</v>
      </c>
      <c r="Q106" s="169">
        <v>4038752</v>
      </c>
      <c r="R106" s="213" t="s">
        <v>5343</v>
      </c>
      <c r="S106" s="213">
        <f>S105-6</f>
        <v>98</v>
      </c>
      <c r="T106" s="213" t="s">
        <v>5344</v>
      </c>
      <c r="U106" s="213">
        <v>7310</v>
      </c>
      <c r="V106" s="99">
        <f t="shared" si="33"/>
        <v>7970.6637808219193</v>
      </c>
      <c r="W106" s="32">
        <f t="shared" si="41"/>
        <v>8130.0770564383574</v>
      </c>
      <c r="X106" s="32">
        <f t="shared" si="42"/>
        <v>8289.4903320547965</v>
      </c>
      <c r="Y106" s="96">
        <v>8695</v>
      </c>
      <c r="AA106" t="s">
        <v>25</v>
      </c>
      <c r="AH106" s="99">
        <v>86</v>
      </c>
      <c r="AI106" s="113" t="s">
        <v>4556</v>
      </c>
      <c r="AJ106" s="113">
        <v>-25574455</v>
      </c>
      <c r="AK106" s="99">
        <v>0</v>
      </c>
      <c r="AL106" s="99">
        <f t="shared" si="36"/>
        <v>413</v>
      </c>
      <c r="AM106" s="117">
        <f t="shared" si="11"/>
        <v>-10562249915</v>
      </c>
      <c r="AN106" s="99"/>
      <c r="AP106" t="s">
        <v>25</v>
      </c>
    </row>
    <row r="107" spans="4:47">
      <c r="F107" s="199"/>
      <c r="G107" s="199"/>
      <c r="H107" s="199"/>
      <c r="I107" s="199"/>
      <c r="J107" s="214" t="s">
        <v>5068</v>
      </c>
      <c r="K107" s="199">
        <f>SUM(K100:K105)</f>
        <v>804</v>
      </c>
      <c r="L107" s="215"/>
      <c r="M107" s="215"/>
      <c r="N107" s="183"/>
      <c r="Q107" s="169">
        <v>632415</v>
      </c>
      <c r="R107" s="213" t="s">
        <v>5351</v>
      </c>
      <c r="S107" s="213">
        <f>S106-5</f>
        <v>93</v>
      </c>
      <c r="T107" s="213" t="s">
        <v>5353</v>
      </c>
      <c r="U107" s="213">
        <v>7236.3</v>
      </c>
      <c r="V107" s="99">
        <f t="shared" si="33"/>
        <v>7862.5472449315084</v>
      </c>
      <c r="W107" s="32">
        <f t="shared" si="41"/>
        <v>8019.7981898301387</v>
      </c>
      <c r="X107" s="32">
        <f t="shared" si="42"/>
        <v>8177.0491347287689</v>
      </c>
      <c r="Y107" s="96"/>
      <c r="AA107" t="s">
        <v>25</v>
      </c>
      <c r="AH107" s="99">
        <v>87</v>
      </c>
      <c r="AI107" s="113" t="s">
        <v>4556</v>
      </c>
      <c r="AJ107" s="113">
        <v>4000000</v>
      </c>
      <c r="AK107" s="99">
        <v>1</v>
      </c>
      <c r="AL107" s="99">
        <f t="shared" si="36"/>
        <v>413</v>
      </c>
      <c r="AM107" s="117">
        <f t="shared" si="11"/>
        <v>1652000000</v>
      </c>
      <c r="AN107" s="99"/>
    </row>
    <row r="108" spans="4:47">
      <c r="F108" s="213"/>
      <c r="G108" s="213"/>
      <c r="H108" s="213" t="s">
        <v>25</v>
      </c>
      <c r="I108" s="213"/>
      <c r="J108" s="32"/>
      <c r="K108" s="213">
        <v>0</v>
      </c>
      <c r="L108" s="39">
        <f>10*P47</f>
        <v>7330000</v>
      </c>
      <c r="M108" s="1">
        <f>K108*L108</f>
        <v>0</v>
      </c>
      <c r="N108" s="113">
        <f>SUM(N100:N106)-M108</f>
        <v>1151328.7999992371</v>
      </c>
      <c r="P108" s="114"/>
      <c r="Q108" s="169">
        <v>6417109</v>
      </c>
      <c r="R108" s="213" t="s">
        <v>5354</v>
      </c>
      <c r="S108" s="213">
        <f>S107-1</f>
        <v>92</v>
      </c>
      <c r="T108" s="213" t="s">
        <v>5355</v>
      </c>
      <c r="U108" s="213">
        <v>7097.9</v>
      </c>
      <c r="V108" s="99">
        <f t="shared" si="33"/>
        <v>7706.7248032876714</v>
      </c>
      <c r="W108" s="32">
        <f t="shared" si="41"/>
        <v>7860.8592993534248</v>
      </c>
      <c r="X108" s="32">
        <f t="shared" si="42"/>
        <v>8014.9937954191782</v>
      </c>
      <c r="Y108" s="96"/>
      <c r="AH108" s="99">
        <v>88</v>
      </c>
      <c r="AI108" s="113" t="s">
        <v>991</v>
      </c>
      <c r="AJ108" s="113">
        <v>-5000000</v>
      </c>
      <c r="AK108" s="99">
        <v>2</v>
      </c>
      <c r="AL108" s="99">
        <f t="shared" si="36"/>
        <v>412</v>
      </c>
      <c r="AM108" s="117">
        <f t="shared" si="11"/>
        <v>-2060000000</v>
      </c>
      <c r="AN108" s="99"/>
    </row>
    <row r="109" spans="4:47">
      <c r="F109" s="199"/>
      <c r="G109" s="199"/>
      <c r="H109" s="199"/>
      <c r="I109" s="199"/>
      <c r="J109" s="214"/>
      <c r="K109" s="241"/>
      <c r="L109" s="215" t="s">
        <v>4243</v>
      </c>
      <c r="M109" s="215" t="s">
        <v>4644</v>
      </c>
      <c r="N109" s="183" t="s">
        <v>4645</v>
      </c>
      <c r="P109" t="s">
        <v>25</v>
      </c>
      <c r="Q109" s="169">
        <v>7802773</v>
      </c>
      <c r="R109" s="213" t="s">
        <v>5359</v>
      </c>
      <c r="S109" s="213">
        <f>S108-1</f>
        <v>91</v>
      </c>
      <c r="T109" s="213" t="s">
        <v>5361</v>
      </c>
      <c r="U109" s="213">
        <v>7100.1</v>
      </c>
      <c r="V109" s="99">
        <f t="shared" si="33"/>
        <v>7703.6668569863023</v>
      </c>
      <c r="W109" s="32">
        <f t="shared" si="41"/>
        <v>7857.7401941260287</v>
      </c>
      <c r="X109" s="32">
        <f t="shared" si="42"/>
        <v>8011.813531265755</v>
      </c>
      <c r="Y109" s="96"/>
      <c r="AD109" s="96"/>
      <c r="AE109"/>
      <c r="AF109"/>
      <c r="AH109" s="99">
        <v>89</v>
      </c>
      <c r="AI109" s="113" t="s">
        <v>4561</v>
      </c>
      <c r="AJ109" s="113">
        <v>10000000</v>
      </c>
      <c r="AK109" s="99">
        <v>4</v>
      </c>
      <c r="AL109" s="99">
        <f t="shared" si="36"/>
        <v>410</v>
      </c>
      <c r="AM109" s="117">
        <f t="shared" si="11"/>
        <v>4100000000</v>
      </c>
      <c r="AN109" s="99"/>
    </row>
    <row r="110" spans="4:47">
      <c r="F110" s="213"/>
      <c r="G110" s="213"/>
      <c r="H110" s="213"/>
      <c r="I110" s="213"/>
      <c r="J110" s="32" t="s">
        <v>4651</v>
      </c>
      <c r="K110" s="213"/>
      <c r="L110" s="1"/>
      <c r="M110" s="1"/>
      <c r="N110" s="113"/>
      <c r="Q110" s="169">
        <v>497886</v>
      </c>
      <c r="R110" s="213" t="s">
        <v>5362</v>
      </c>
      <c r="S110" s="213">
        <f>S109-4</f>
        <v>87</v>
      </c>
      <c r="T110" s="213" t="s">
        <v>5363</v>
      </c>
      <c r="U110" s="213">
        <v>6980.8</v>
      </c>
      <c r="V110" s="99">
        <f t="shared" si="33"/>
        <v>7552.8048394520556</v>
      </c>
      <c r="W110" s="32">
        <f t="shared" si="41"/>
        <v>7703.8609362410971</v>
      </c>
      <c r="X110" s="32">
        <f t="shared" si="42"/>
        <v>7854.9170330301376</v>
      </c>
      <c r="AH110" s="99">
        <v>90</v>
      </c>
      <c r="AI110" s="113" t="s">
        <v>4563</v>
      </c>
      <c r="AJ110" s="113">
        <v>-5241937</v>
      </c>
      <c r="AK110" s="99">
        <v>0</v>
      </c>
      <c r="AL110" s="99">
        <f t="shared" si="36"/>
        <v>406</v>
      </c>
      <c r="AM110" s="117">
        <f t="shared" si="11"/>
        <v>-2128226422</v>
      </c>
      <c r="AN110" s="99"/>
    </row>
    <row r="111" spans="4:47">
      <c r="M111" t="s">
        <v>25</v>
      </c>
      <c r="Q111" s="169">
        <v>4160802</v>
      </c>
      <c r="R111" s="213" t="s">
        <v>995</v>
      </c>
      <c r="S111" s="213">
        <f>S110-2</f>
        <v>85</v>
      </c>
      <c r="T111" s="213" t="s">
        <v>5371</v>
      </c>
      <c r="U111" s="213">
        <v>7092.5</v>
      </c>
      <c r="V111" s="99">
        <f t="shared" si="33"/>
        <v>7662.7758630136987</v>
      </c>
      <c r="W111" s="32">
        <f t="shared" si="41"/>
        <v>7816.0313802739729</v>
      </c>
      <c r="X111" s="32">
        <f t="shared" si="42"/>
        <v>7969.2868975342471</v>
      </c>
      <c r="AH111" s="99">
        <v>91</v>
      </c>
      <c r="AI111" s="113" t="s">
        <v>4563</v>
      </c>
      <c r="AJ111" s="113">
        <v>21900000</v>
      </c>
      <c r="AK111" s="99">
        <v>2</v>
      </c>
      <c r="AL111" s="99">
        <f t="shared" si="36"/>
        <v>406</v>
      </c>
      <c r="AM111" s="117">
        <f t="shared" si="11"/>
        <v>8891400000</v>
      </c>
      <c r="AN111" s="99"/>
      <c r="AP111" t="s">
        <v>25</v>
      </c>
      <c r="AU111"/>
    </row>
    <row r="112" spans="4:47">
      <c r="I112" t="s">
        <v>25</v>
      </c>
      <c r="P112" s="114"/>
      <c r="Q112" s="169">
        <v>5397012</v>
      </c>
      <c r="R112" s="213" t="s">
        <v>5372</v>
      </c>
      <c r="S112" s="213">
        <f>S111-1</f>
        <v>84</v>
      </c>
      <c r="T112" s="213" t="s">
        <v>5388</v>
      </c>
      <c r="U112" s="213">
        <v>6923.5</v>
      </c>
      <c r="V112" s="99">
        <f t="shared" si="33"/>
        <v>7474.8761589041105</v>
      </c>
      <c r="W112" s="32">
        <f t="shared" si="41"/>
        <v>7624.3736820821932</v>
      </c>
      <c r="X112" s="32">
        <f t="shared" si="42"/>
        <v>7773.871205260275</v>
      </c>
      <c r="Y112">
        <v>13000</v>
      </c>
      <c r="AH112" s="99">
        <v>92</v>
      </c>
      <c r="AI112" s="113" t="s">
        <v>4571</v>
      </c>
      <c r="AJ112" s="113">
        <v>-15000000</v>
      </c>
      <c r="AK112" s="99">
        <v>0</v>
      </c>
      <c r="AL112" s="99">
        <f t="shared" si="36"/>
        <v>404</v>
      </c>
      <c r="AM112" s="117">
        <f t="shared" si="11"/>
        <v>-6060000000</v>
      </c>
      <c r="AN112" s="99"/>
      <c r="AO112" t="s">
        <v>25</v>
      </c>
    </row>
    <row r="113" spans="6:46">
      <c r="J113" s="114"/>
      <c r="K113" s="168" t="s">
        <v>4524</v>
      </c>
      <c r="L113" s="168" t="s">
        <v>4525</v>
      </c>
      <c r="M113" s="168" t="s">
        <v>4420</v>
      </c>
      <c r="N113" s="56" t="s">
        <v>190</v>
      </c>
      <c r="Q113" s="169">
        <v>6908862</v>
      </c>
      <c r="R113" s="213" t="s">
        <v>5386</v>
      </c>
      <c r="S113" s="213">
        <f>S112-11</f>
        <v>73</v>
      </c>
      <c r="T113" s="213" t="s">
        <v>5396</v>
      </c>
      <c r="U113" s="213">
        <v>7301.1</v>
      </c>
      <c r="V113" s="99">
        <f t="shared" si="33"/>
        <v>7820.9383200000011</v>
      </c>
      <c r="W113" s="32">
        <f t="shared" ref="W113:W115" si="43">V113*(1+$W$19/100)</f>
        <v>7977.3570864000012</v>
      </c>
      <c r="X113" s="32">
        <f t="shared" ref="X113:X115" si="44">V113*(1+$X$19/100)</f>
        <v>8133.7758528000013</v>
      </c>
      <c r="Y113" t="s">
        <v>25</v>
      </c>
      <c r="AH113" s="99">
        <v>93</v>
      </c>
      <c r="AI113" s="113" t="s">
        <v>4571</v>
      </c>
      <c r="AJ113" s="113">
        <v>3000000</v>
      </c>
      <c r="AK113" s="99">
        <v>1</v>
      </c>
      <c r="AL113" s="99">
        <f t="shared" si="36"/>
        <v>404</v>
      </c>
      <c r="AM113" s="117">
        <f t="shared" si="11"/>
        <v>1212000000</v>
      </c>
      <c r="AN113" s="99"/>
    </row>
    <row r="114" spans="6:46">
      <c r="H114" s="114"/>
      <c r="K114" s="168" t="s">
        <v>4233</v>
      </c>
      <c r="L114" s="169">
        <v>1100000</v>
      </c>
      <c r="M114" s="169">
        <v>1637000</v>
      </c>
      <c r="N114" s="168">
        <f t="shared" ref="N114:N122" si="45">(M114-L114)*100/L114</f>
        <v>48.81818181818182</v>
      </c>
      <c r="Q114" s="169">
        <v>36895962</v>
      </c>
      <c r="R114" s="213" t="s">
        <v>5397</v>
      </c>
      <c r="S114" s="213">
        <f>S113-1</f>
        <v>72</v>
      </c>
      <c r="T114" s="213" t="s">
        <v>5402</v>
      </c>
      <c r="U114" s="213">
        <v>7372.4</v>
      </c>
      <c r="V114" s="99">
        <f t="shared" si="33"/>
        <v>7891.6593402739727</v>
      </c>
      <c r="W114" s="32">
        <f t="shared" si="43"/>
        <v>8049.492527079452</v>
      </c>
      <c r="X114" s="32">
        <f t="shared" si="44"/>
        <v>8207.3257138849312</v>
      </c>
      <c r="Y114" t="s">
        <v>25</v>
      </c>
      <c r="AH114" s="99">
        <v>94</v>
      </c>
      <c r="AI114" s="113" t="s">
        <v>4575</v>
      </c>
      <c r="AJ114" s="113">
        <v>-2103736</v>
      </c>
      <c r="AK114" s="99">
        <v>0</v>
      </c>
      <c r="AL114" s="99">
        <f t="shared" si="36"/>
        <v>403</v>
      </c>
      <c r="AM114" s="117">
        <f t="shared" si="11"/>
        <v>-847805608</v>
      </c>
      <c r="AN114" s="99"/>
    </row>
    <row r="115" spans="6:46">
      <c r="F115" s="96"/>
      <c r="G115" s="213"/>
      <c r="H115" s="213" t="s">
        <v>5211</v>
      </c>
      <c r="I115" s="213" t="s">
        <v>5508</v>
      </c>
      <c r="J115" s="1">
        <v>79922415</v>
      </c>
      <c r="K115" s="5" t="s">
        <v>4519</v>
      </c>
      <c r="L115" s="169">
        <v>1100000</v>
      </c>
      <c r="M115" s="169">
        <v>4748000</v>
      </c>
      <c r="N115" s="168">
        <f t="shared" si="45"/>
        <v>331.63636363636363</v>
      </c>
      <c r="Q115" s="169">
        <v>25972060</v>
      </c>
      <c r="R115" s="213" t="s">
        <v>5411</v>
      </c>
      <c r="S115" s="213">
        <f>S114-3</f>
        <v>69</v>
      </c>
      <c r="T115" s="213" t="s">
        <v>5511</v>
      </c>
      <c r="U115" s="213">
        <v>7557.6</v>
      </c>
      <c r="V115" s="99">
        <f t="shared" si="33"/>
        <v>8072.5106761643847</v>
      </c>
      <c r="W115" s="32">
        <f t="shared" si="43"/>
        <v>8233.9608896876725</v>
      </c>
      <c r="X115" s="32">
        <f t="shared" si="44"/>
        <v>8395.4111032109595</v>
      </c>
      <c r="AH115" s="99">
        <v>95</v>
      </c>
      <c r="AI115" s="113" t="s">
        <v>4575</v>
      </c>
      <c r="AJ115" s="113">
        <v>220000</v>
      </c>
      <c r="AK115" s="99">
        <v>3</v>
      </c>
      <c r="AL115" s="99">
        <f t="shared" si="36"/>
        <v>403</v>
      </c>
      <c r="AM115" s="117">
        <f t="shared" si="11"/>
        <v>88660000</v>
      </c>
      <c r="AN115" s="99"/>
      <c r="AR115" s="96"/>
      <c r="AS115" s="96"/>
      <c r="AT115"/>
    </row>
    <row r="116" spans="6:46">
      <c r="F116" s="96"/>
      <c r="G116" s="213" t="s">
        <v>938</v>
      </c>
      <c r="H116" s="213" t="s">
        <v>4524</v>
      </c>
      <c r="I116" s="213" t="s">
        <v>934</v>
      </c>
      <c r="J116" s="213" t="s">
        <v>4730</v>
      </c>
      <c r="K116" s="5" t="s">
        <v>4520</v>
      </c>
      <c r="L116" s="169">
        <v>1100000</v>
      </c>
      <c r="M116" s="169">
        <v>5137000</v>
      </c>
      <c r="N116" s="168">
        <f t="shared" si="45"/>
        <v>367</v>
      </c>
      <c r="Q116" s="169">
        <v>29717771</v>
      </c>
      <c r="R116" s="213" t="s">
        <v>5512</v>
      </c>
      <c r="S116" s="213">
        <f>S115-40</f>
        <v>29</v>
      </c>
      <c r="T116" s="213" t="s">
        <v>5514</v>
      </c>
      <c r="U116" s="213">
        <v>7159.6</v>
      </c>
      <c r="V116" s="99">
        <f t="shared" ref="V116:V147" si="46">U116*(1+$R$80+$Q$15*S116/36500)</f>
        <v>7427.702500821918</v>
      </c>
      <c r="W116" s="32">
        <f t="shared" ref="W116:W118" si="47">V116*(1+$W$19/100)</f>
        <v>7576.2565508383568</v>
      </c>
      <c r="X116" s="32">
        <f t="shared" ref="X116:X118" si="48">V116*(1+$X$19/100)</f>
        <v>7724.8106008547948</v>
      </c>
      <c r="Y116">
        <v>23000</v>
      </c>
      <c r="AH116" s="99">
        <v>96</v>
      </c>
      <c r="AI116" s="113" t="s">
        <v>4584</v>
      </c>
      <c r="AJ116" s="113">
        <v>4000000</v>
      </c>
      <c r="AK116" s="99">
        <v>1</v>
      </c>
      <c r="AL116" s="99">
        <f t="shared" si="36"/>
        <v>400</v>
      </c>
      <c r="AM116" s="117">
        <f t="shared" si="11"/>
        <v>1600000000</v>
      </c>
      <c r="AN116" s="99"/>
    </row>
    <row r="117" spans="6:46">
      <c r="F117" s="96"/>
      <c r="G117" s="1">
        <f>P45</f>
        <v>1044.7</v>
      </c>
      <c r="H117" s="213" t="s">
        <v>4233</v>
      </c>
      <c r="I117" s="213">
        <v>241029</v>
      </c>
      <c r="J117" s="1">
        <f>I117*G117</f>
        <v>251802996.30000001</v>
      </c>
      <c r="K117" s="19" t="s">
        <v>4379</v>
      </c>
      <c r="L117" s="169">
        <v>1100000</v>
      </c>
      <c r="M117" s="169">
        <v>4300000</v>
      </c>
      <c r="N117" s="168">
        <f t="shared" si="45"/>
        <v>290.90909090909093</v>
      </c>
      <c r="P117" s="114"/>
      <c r="Q117" s="169">
        <v>7374741</v>
      </c>
      <c r="R117" s="213" t="s">
        <v>5520</v>
      </c>
      <c r="S117" s="213">
        <f>S116-8</f>
        <v>21</v>
      </c>
      <c r="T117" s="213" t="s">
        <v>5521</v>
      </c>
      <c r="U117" s="213">
        <v>7601</v>
      </c>
      <c r="V117" s="99">
        <f t="shared" si="46"/>
        <v>7838.9841863013698</v>
      </c>
      <c r="W117" s="32">
        <f t="shared" si="47"/>
        <v>7995.7638700273974</v>
      </c>
      <c r="X117" s="32">
        <f t="shared" si="48"/>
        <v>8152.5435537534249</v>
      </c>
      <c r="Y117">
        <v>6000</v>
      </c>
      <c r="AH117" s="99">
        <v>97</v>
      </c>
      <c r="AI117" s="113" t="s">
        <v>4589</v>
      </c>
      <c r="AJ117" s="113">
        <v>-9000000</v>
      </c>
      <c r="AK117" s="99">
        <v>0</v>
      </c>
      <c r="AL117" s="99">
        <f t="shared" si="36"/>
        <v>399</v>
      </c>
      <c r="AM117" s="117">
        <f t="shared" si="11"/>
        <v>-3591000000</v>
      </c>
      <c r="AN117" s="99"/>
      <c r="AP117" t="s">
        <v>25</v>
      </c>
    </row>
    <row r="118" spans="6:46">
      <c r="F118" s="96"/>
      <c r="G118" s="1">
        <f>P43</f>
        <v>12522</v>
      </c>
      <c r="H118" s="213" t="s">
        <v>4383</v>
      </c>
      <c r="I118" s="213">
        <v>2535</v>
      </c>
      <c r="J118" s="1">
        <f t="shared" ref="J118" si="49">I118*G118</f>
        <v>31743270</v>
      </c>
      <c r="K118" s="5" t="s">
        <v>4397</v>
      </c>
      <c r="L118" s="169">
        <v>1100000</v>
      </c>
      <c r="M118" s="169">
        <v>3191000</v>
      </c>
      <c r="N118" s="168">
        <f t="shared" si="45"/>
        <v>190.09090909090909</v>
      </c>
      <c r="Q118" s="169">
        <v>2612032</v>
      </c>
      <c r="R118" s="213" t="s">
        <v>5525</v>
      </c>
      <c r="S118" s="213">
        <f>S117-4</f>
        <v>17</v>
      </c>
      <c r="T118" s="213" t="s">
        <v>5526</v>
      </c>
      <c r="U118" s="213">
        <v>8000.7</v>
      </c>
      <c r="V118" s="99">
        <f t="shared" si="46"/>
        <v>8226.6485358904119</v>
      </c>
      <c r="W118" s="32">
        <f t="shared" si="47"/>
        <v>8391.1815066082199</v>
      </c>
      <c r="X118" s="32">
        <f t="shared" si="48"/>
        <v>8555.7144773260279</v>
      </c>
      <c r="AH118" s="99">
        <v>98</v>
      </c>
      <c r="AI118" s="113" t="s">
        <v>4589</v>
      </c>
      <c r="AJ118" s="113">
        <v>13900000</v>
      </c>
      <c r="AK118" s="99">
        <v>2</v>
      </c>
      <c r="AL118" s="99">
        <f t="shared" si="36"/>
        <v>399</v>
      </c>
      <c r="AM118" s="117">
        <f t="shared" si="11"/>
        <v>5546100000</v>
      </c>
      <c r="AN118" s="99"/>
    </row>
    <row r="119" spans="6:46">
      <c r="F119" s="96"/>
      <c r="G119" s="1"/>
      <c r="H119" s="213" t="s">
        <v>25</v>
      </c>
      <c r="I119" s="213"/>
      <c r="J119" s="1"/>
      <c r="K119" s="5" t="s">
        <v>4521</v>
      </c>
      <c r="L119" s="169">
        <v>1100000</v>
      </c>
      <c r="M119" s="169">
        <v>5623000</v>
      </c>
      <c r="N119" s="168">
        <f t="shared" si="45"/>
        <v>411.18181818181819</v>
      </c>
      <c r="Q119" s="169">
        <v>6180139</v>
      </c>
      <c r="R119" s="213" t="s">
        <v>5529</v>
      </c>
      <c r="S119" s="213">
        <f>S118-2</f>
        <v>15</v>
      </c>
      <c r="T119" s="213" t="s">
        <v>5532</v>
      </c>
      <c r="U119" s="213">
        <v>8485.7999999999993</v>
      </c>
      <c r="V119" s="99">
        <f t="shared" si="46"/>
        <v>8712.4289819178084</v>
      </c>
      <c r="W119" s="32">
        <f t="shared" ref="W119:W128" si="50">V119*(1+$W$19/100)</f>
        <v>8886.6775615561655</v>
      </c>
      <c r="X119" s="32">
        <f t="shared" ref="X119:X128" si="51">V119*(1+$X$19/100)</f>
        <v>9060.9261411945208</v>
      </c>
      <c r="Y119">
        <v>3300</v>
      </c>
      <c r="AH119" s="99">
        <v>99</v>
      </c>
      <c r="AI119" s="113" t="s">
        <v>4597</v>
      </c>
      <c r="AJ119" s="113">
        <v>-8127577</v>
      </c>
      <c r="AK119" s="99">
        <v>1</v>
      </c>
      <c r="AL119" s="99">
        <f t="shared" si="36"/>
        <v>397</v>
      </c>
      <c r="AM119" s="117">
        <f t="shared" si="11"/>
        <v>-3226648069</v>
      </c>
      <c r="AN119" s="99"/>
      <c r="AO119" t="s">
        <v>25</v>
      </c>
      <c r="AQ119" t="s">
        <v>25</v>
      </c>
    </row>
    <row r="120" spans="6:46">
      <c r="F120" s="96"/>
      <c r="G120" s="213"/>
      <c r="H120" s="213"/>
      <c r="I120" s="113">
        <f>J120-J115</f>
        <v>203623851.30000001</v>
      </c>
      <c r="J120" s="1">
        <f>SUM(J117:J119)</f>
        <v>283546266.30000001</v>
      </c>
      <c r="K120" s="19" t="s">
        <v>4383</v>
      </c>
      <c r="L120" s="169">
        <v>1100000</v>
      </c>
      <c r="M120" s="169">
        <v>7728000</v>
      </c>
      <c r="N120" s="168">
        <f t="shared" si="45"/>
        <v>602.5454545454545</v>
      </c>
      <c r="Q120" s="169">
        <v>17185077</v>
      </c>
      <c r="R120" s="213" t="s">
        <v>5530</v>
      </c>
      <c r="S120" s="213">
        <f>S119-1</f>
        <v>14</v>
      </c>
      <c r="T120" s="213" t="s">
        <v>5537</v>
      </c>
      <c r="U120" s="213">
        <v>8377.7999999999993</v>
      </c>
      <c r="V120" s="99">
        <f t="shared" si="46"/>
        <v>8595.1178367123302</v>
      </c>
      <c r="W120" s="32">
        <f t="shared" si="50"/>
        <v>8767.0201934465767</v>
      </c>
      <c r="X120" s="32">
        <f t="shared" si="51"/>
        <v>8938.9225501808232</v>
      </c>
      <c r="AH120" s="99">
        <v>100</v>
      </c>
      <c r="AI120" s="113" t="s">
        <v>3687</v>
      </c>
      <c r="AJ120" s="113">
        <v>15792549</v>
      </c>
      <c r="AK120" s="99">
        <v>3</v>
      </c>
      <c r="AL120" s="99">
        <f t="shared" si="36"/>
        <v>396</v>
      </c>
      <c r="AM120" s="117">
        <f t="shared" si="11"/>
        <v>6253849404</v>
      </c>
      <c r="AN120" s="99"/>
      <c r="AO120" t="s">
        <v>25</v>
      </c>
      <c r="AP120" t="s">
        <v>25</v>
      </c>
    </row>
    <row r="121" spans="6:46">
      <c r="F121" s="96"/>
      <c r="G121" s="213"/>
      <c r="H121" s="213"/>
      <c r="I121" s="213" t="s">
        <v>914</v>
      </c>
      <c r="J121" s="213" t="s">
        <v>6</v>
      </c>
      <c r="K121" s="5" t="s">
        <v>4523</v>
      </c>
      <c r="L121" s="169">
        <v>1100000</v>
      </c>
      <c r="M121" s="169">
        <v>2904000</v>
      </c>
      <c r="N121" s="168">
        <f t="shared" si="45"/>
        <v>164</v>
      </c>
      <c r="Q121" s="169">
        <v>83684098</v>
      </c>
      <c r="R121" s="213" t="s">
        <v>5534</v>
      </c>
      <c r="S121" s="213">
        <f>S120-1</f>
        <v>13</v>
      </c>
      <c r="T121" s="213" t="s">
        <v>5538</v>
      </c>
      <c r="U121" s="213">
        <v>8337.2999999999993</v>
      </c>
      <c r="V121" s="99">
        <f t="shared" si="46"/>
        <v>8547.171540821917</v>
      </c>
      <c r="W121" s="32">
        <f t="shared" si="50"/>
        <v>8718.1149716383552</v>
      </c>
      <c r="X121" s="32">
        <f t="shared" si="51"/>
        <v>8889.0584024547934</v>
      </c>
      <c r="AH121" s="99">
        <v>101</v>
      </c>
      <c r="AI121" s="113" t="s">
        <v>4602</v>
      </c>
      <c r="AJ121" s="113">
        <v>8800000</v>
      </c>
      <c r="AK121" s="99">
        <v>0</v>
      </c>
      <c r="AL121" s="99">
        <f t="shared" ref="AL121:AL125" si="52">AL122+AK121</f>
        <v>393</v>
      </c>
      <c r="AM121" s="117">
        <f t="shared" ref="AM121:AM144" si="53">AJ121*AL121</f>
        <v>3458400000</v>
      </c>
      <c r="AN121" s="99"/>
      <c r="AP121" t="s">
        <v>25</v>
      </c>
    </row>
    <row r="122" spans="6:46" ht="45">
      <c r="G122" s="41"/>
      <c r="H122" s="41"/>
      <c r="I122" s="41"/>
      <c r="J122" s="41"/>
      <c r="K122" s="259" t="s">
        <v>1082</v>
      </c>
      <c r="L122" s="169">
        <v>1100000</v>
      </c>
      <c r="M122" s="169">
        <v>3400000</v>
      </c>
      <c r="N122" s="168">
        <f t="shared" si="45"/>
        <v>209.09090909090909</v>
      </c>
      <c r="P122" s="114"/>
      <c r="Q122" s="169">
        <v>36451986</v>
      </c>
      <c r="R122" s="213" t="s">
        <v>5543</v>
      </c>
      <c r="S122" s="213">
        <f>S121-3</f>
        <v>10</v>
      </c>
      <c r="T122" s="213" t="s">
        <v>5544</v>
      </c>
      <c r="U122" s="213">
        <v>8280.2000000000007</v>
      </c>
      <c r="V122" s="99">
        <f t="shared" si="46"/>
        <v>8469.5783824657556</v>
      </c>
      <c r="W122" s="32">
        <f t="shared" si="50"/>
        <v>8638.9699501150717</v>
      </c>
      <c r="X122" s="32">
        <f t="shared" si="51"/>
        <v>8808.361517764386</v>
      </c>
      <c r="Y122" t="s">
        <v>25</v>
      </c>
      <c r="AH122" s="121">
        <v>102</v>
      </c>
      <c r="AI122" s="79" t="s">
        <v>4602</v>
      </c>
      <c r="AJ122" s="79">
        <v>13071612</v>
      </c>
      <c r="AK122" s="121">
        <v>1</v>
      </c>
      <c r="AL122" s="121">
        <f t="shared" si="52"/>
        <v>393</v>
      </c>
      <c r="AM122" s="79">
        <f t="shared" si="53"/>
        <v>5137143516</v>
      </c>
      <c r="AN122" s="205" t="s">
        <v>4603</v>
      </c>
    </row>
    <row r="123" spans="6:46">
      <c r="G123" s="213"/>
      <c r="H123" s="213" t="s">
        <v>4271</v>
      </c>
      <c r="I123" s="213" t="s">
        <v>5356</v>
      </c>
      <c r="J123" s="1">
        <v>16319143</v>
      </c>
      <c r="K123" s="240" t="s">
        <v>5482</v>
      </c>
      <c r="Q123" s="169">
        <v>51910020</v>
      </c>
      <c r="R123" s="213" t="s">
        <v>5543</v>
      </c>
      <c r="S123" s="213">
        <f>S122</f>
        <v>10</v>
      </c>
      <c r="T123" s="213" t="s">
        <v>5545</v>
      </c>
      <c r="U123" s="213">
        <v>8758.5</v>
      </c>
      <c r="V123" s="99">
        <f t="shared" si="46"/>
        <v>8958.817693150686</v>
      </c>
      <c r="W123" s="32">
        <f t="shared" si="50"/>
        <v>9137.9940470136989</v>
      </c>
      <c r="X123" s="32">
        <f t="shared" si="51"/>
        <v>9317.1704008767138</v>
      </c>
      <c r="Y123" t="s">
        <v>25</v>
      </c>
      <c r="AH123" s="89">
        <v>103</v>
      </c>
      <c r="AI123" s="90" t="s">
        <v>4606</v>
      </c>
      <c r="AJ123" s="90">
        <v>16727037</v>
      </c>
      <c r="AK123" s="89">
        <v>0</v>
      </c>
      <c r="AL123" s="89">
        <f t="shared" si="52"/>
        <v>392</v>
      </c>
      <c r="AM123" s="90">
        <f t="shared" si="53"/>
        <v>6556998504</v>
      </c>
      <c r="AN123" s="89" t="s">
        <v>4613</v>
      </c>
    </row>
    <row r="124" spans="6:46">
      <c r="G124" s="1">
        <f>P45</f>
        <v>1044.7</v>
      </c>
      <c r="H124" s="213" t="s">
        <v>4233</v>
      </c>
      <c r="I124" s="213">
        <v>68595</v>
      </c>
      <c r="J124" s="1">
        <f>G124*I124</f>
        <v>71661196.5</v>
      </c>
      <c r="K124" s="240" t="s">
        <v>4552</v>
      </c>
      <c r="Q124" s="169">
        <v>17151614</v>
      </c>
      <c r="R124" s="213" t="s">
        <v>5548</v>
      </c>
      <c r="S124" s="213">
        <f>S123-1</f>
        <v>9</v>
      </c>
      <c r="T124" s="213" t="s">
        <v>5549</v>
      </c>
      <c r="U124" s="213">
        <v>8536.2000000000007</v>
      </c>
      <c r="V124" s="99">
        <f t="shared" si="46"/>
        <v>8724.8851002739757</v>
      </c>
      <c r="W124" s="32">
        <f t="shared" si="50"/>
        <v>8899.3828022794551</v>
      </c>
      <c r="X124" s="32">
        <f t="shared" si="51"/>
        <v>9073.8805042849344</v>
      </c>
      <c r="Y124" s="122" t="s">
        <v>25</v>
      </c>
      <c r="AH124" s="99">
        <v>104</v>
      </c>
      <c r="AI124" s="113" t="s">
        <v>4606</v>
      </c>
      <c r="AJ124" s="113">
        <v>12000000</v>
      </c>
      <c r="AK124" s="99">
        <v>1</v>
      </c>
      <c r="AL124" s="99">
        <f t="shared" si="52"/>
        <v>392</v>
      </c>
      <c r="AM124" s="117">
        <f t="shared" si="53"/>
        <v>4704000000</v>
      </c>
      <c r="AN124" s="99" t="s">
        <v>4614</v>
      </c>
    </row>
    <row r="125" spans="6:46">
      <c r="G125" s="213"/>
      <c r="H125" s="213"/>
      <c r="I125" s="213" t="s">
        <v>25</v>
      </c>
      <c r="J125" s="213" t="s">
        <v>25</v>
      </c>
      <c r="K125" s="240" t="s">
        <v>4553</v>
      </c>
      <c r="P125" t="s">
        <v>25</v>
      </c>
      <c r="Q125" s="169">
        <v>80899897</v>
      </c>
      <c r="R125" s="213" t="s">
        <v>5548</v>
      </c>
      <c r="S125" s="213">
        <f>S124</f>
        <v>9</v>
      </c>
      <c r="T125" s="213" t="s">
        <v>5550</v>
      </c>
      <c r="U125" s="213">
        <v>9036.6</v>
      </c>
      <c r="V125" s="99">
        <f t="shared" si="46"/>
        <v>9236.3459967123308</v>
      </c>
      <c r="W125" s="32">
        <f t="shared" si="50"/>
        <v>9421.0729166465771</v>
      </c>
      <c r="X125" s="32">
        <f t="shared" si="51"/>
        <v>9605.7998365808253</v>
      </c>
      <c r="Z125" t="s">
        <v>25</v>
      </c>
      <c r="AH125" s="89">
        <v>105</v>
      </c>
      <c r="AI125" s="90" t="s">
        <v>4535</v>
      </c>
      <c r="AJ125" s="90">
        <v>88697667</v>
      </c>
      <c r="AK125" s="89">
        <v>1</v>
      </c>
      <c r="AL125" s="89">
        <f t="shared" si="52"/>
        <v>391</v>
      </c>
      <c r="AM125" s="90">
        <f t="shared" si="53"/>
        <v>34680787797</v>
      </c>
      <c r="AN125" s="89" t="s">
        <v>4615</v>
      </c>
      <c r="AP125" t="s">
        <v>25</v>
      </c>
    </row>
    <row r="126" spans="6:46">
      <c r="G126" s="213"/>
      <c r="H126" s="213"/>
      <c r="I126" s="113">
        <f>J126-J123</f>
        <v>55342053.5</v>
      </c>
      <c r="J126" s="1">
        <f>SUM(J124:J125)</f>
        <v>71661196.5</v>
      </c>
      <c r="Q126" s="169">
        <v>23272546</v>
      </c>
      <c r="R126" s="213" t="s">
        <v>5553</v>
      </c>
      <c r="S126" s="213">
        <f>S125-1</f>
        <v>8</v>
      </c>
      <c r="T126" s="213" t="s">
        <v>5554</v>
      </c>
      <c r="U126" s="213">
        <v>8938</v>
      </c>
      <c r="V126" s="99">
        <f t="shared" si="46"/>
        <v>9128.7099835616445</v>
      </c>
      <c r="W126" s="32">
        <f t="shared" si="50"/>
        <v>9311.2841832328777</v>
      </c>
      <c r="X126" s="32">
        <f t="shared" si="51"/>
        <v>9493.8583829041108</v>
      </c>
      <c r="Y126" t="s">
        <v>25</v>
      </c>
      <c r="AH126" s="99">
        <v>106</v>
      </c>
      <c r="AI126" s="113" t="s">
        <v>4538</v>
      </c>
      <c r="AJ126" s="113">
        <v>101000</v>
      </c>
      <c r="AK126" s="99">
        <v>0</v>
      </c>
      <c r="AL126" s="99">
        <f>AL127+AK126</f>
        <v>390</v>
      </c>
      <c r="AM126" s="117">
        <f t="shared" si="53"/>
        <v>39390000</v>
      </c>
      <c r="AN126" s="99"/>
      <c r="AQ126" t="s">
        <v>25</v>
      </c>
    </row>
    <row r="127" spans="6:46">
      <c r="G127" s="213"/>
      <c r="H127" s="213"/>
      <c r="I127" s="213" t="s">
        <v>914</v>
      </c>
      <c r="J127" s="213" t="s">
        <v>6</v>
      </c>
      <c r="Q127" s="169">
        <v>70181612</v>
      </c>
      <c r="R127" s="213" t="s">
        <v>5553</v>
      </c>
      <c r="S127" s="213">
        <f>S126</f>
        <v>8</v>
      </c>
      <c r="T127" s="213" t="s">
        <v>5555</v>
      </c>
      <c r="U127" s="213">
        <v>8497.4</v>
      </c>
      <c r="V127" s="99">
        <f t="shared" si="46"/>
        <v>8678.7089073972602</v>
      </c>
      <c r="W127" s="32">
        <f t="shared" si="50"/>
        <v>8852.2830855452048</v>
      </c>
      <c r="X127" s="32">
        <f t="shared" si="51"/>
        <v>9025.8572636931513</v>
      </c>
      <c r="AH127" s="149">
        <v>107</v>
      </c>
      <c r="AI127" s="188" t="s">
        <v>4612</v>
      </c>
      <c r="AJ127" s="188">
        <v>-48200</v>
      </c>
      <c r="AK127" s="149">
        <v>0</v>
      </c>
      <c r="AL127" s="149">
        <f t="shared" ref="AL127:AL177" si="54">AL128+AK127</f>
        <v>390</v>
      </c>
      <c r="AM127" s="188">
        <f t="shared" si="53"/>
        <v>-18798000</v>
      </c>
      <c r="AN127" s="149" t="s">
        <v>4620</v>
      </c>
    </row>
    <row r="128" spans="6:46">
      <c r="G128" s="41"/>
      <c r="H128" s="41"/>
      <c r="I128" s="41"/>
      <c r="J128" s="41"/>
      <c r="Q128" s="169">
        <v>7775139</v>
      </c>
      <c r="R128" s="213" t="s">
        <v>5557</v>
      </c>
      <c r="S128" s="213">
        <f>S127-1</f>
        <v>7</v>
      </c>
      <c r="T128" s="213" t="s">
        <v>5558</v>
      </c>
      <c r="U128" s="213">
        <v>9000</v>
      </c>
      <c r="V128" s="99">
        <f t="shared" si="46"/>
        <v>9185.1287671232894</v>
      </c>
      <c r="W128" s="32">
        <f t="shared" si="50"/>
        <v>9368.8313424657554</v>
      </c>
      <c r="X128" s="32">
        <f t="shared" si="51"/>
        <v>9552.5339178082213</v>
      </c>
      <c r="AH128" s="89">
        <v>108</v>
      </c>
      <c r="AI128" s="90" t="s">
        <v>4612</v>
      </c>
      <c r="AJ128" s="90">
        <v>39327293</v>
      </c>
      <c r="AK128" s="89">
        <v>4</v>
      </c>
      <c r="AL128" s="149">
        <f t="shared" si="54"/>
        <v>390</v>
      </c>
      <c r="AM128" s="188">
        <f t="shared" si="53"/>
        <v>15337644270</v>
      </c>
      <c r="AN128" s="89" t="s">
        <v>4621</v>
      </c>
    </row>
    <row r="129" spans="7:43">
      <c r="G129" s="213"/>
      <c r="H129" s="213" t="s">
        <v>5246</v>
      </c>
      <c r="I129" s="213" t="s">
        <v>5150</v>
      </c>
      <c r="J129" s="1">
        <v>19795000</v>
      </c>
      <c r="Q129" s="169">
        <v>9243589</v>
      </c>
      <c r="R129" s="213" t="s">
        <v>5569</v>
      </c>
      <c r="S129" s="213">
        <f>S128-5</f>
        <v>2</v>
      </c>
      <c r="T129" s="213" t="s">
        <v>5572</v>
      </c>
      <c r="U129" s="213">
        <v>9544.5</v>
      </c>
      <c r="V129" s="99">
        <f t="shared" si="46"/>
        <v>9704.2200164383576</v>
      </c>
      <c r="W129" s="32">
        <f t="shared" ref="W129:W132" si="55">V129*(1+$W$19/100)</f>
        <v>9898.3044167671251</v>
      </c>
      <c r="X129" s="32">
        <f t="shared" ref="X129:X132" si="56">V129*(1+$X$19/100)</f>
        <v>10092.388817095893</v>
      </c>
      <c r="Y129" t="s">
        <v>25</v>
      </c>
      <c r="Z129" t="s">
        <v>25</v>
      </c>
      <c r="AH129" s="89">
        <v>109</v>
      </c>
      <c r="AI129" s="90" t="s">
        <v>4635</v>
      </c>
      <c r="AJ129" s="90">
        <v>8749050</v>
      </c>
      <c r="AK129" s="89">
        <v>1</v>
      </c>
      <c r="AL129" s="89">
        <f t="shared" si="54"/>
        <v>386</v>
      </c>
      <c r="AM129" s="90">
        <f t="shared" si="53"/>
        <v>3377133300</v>
      </c>
      <c r="AN129" s="89" t="s">
        <v>4636</v>
      </c>
    </row>
    <row r="130" spans="7:43">
      <c r="G130" s="1">
        <f>P45</f>
        <v>1044.7</v>
      </c>
      <c r="H130" s="213" t="s">
        <v>4233</v>
      </c>
      <c r="I130" s="213">
        <v>46582</v>
      </c>
      <c r="J130" s="1">
        <f>G130*I130</f>
        <v>48664215.399999999</v>
      </c>
      <c r="K130" t="s">
        <v>25</v>
      </c>
      <c r="Q130" s="169">
        <v>17698385</v>
      </c>
      <c r="R130" s="213" t="s">
        <v>5569</v>
      </c>
      <c r="S130" s="213">
        <f>S129</f>
        <v>2</v>
      </c>
      <c r="T130" s="213" t="s">
        <v>5570</v>
      </c>
      <c r="U130" s="213">
        <v>9713</v>
      </c>
      <c r="V130" s="99">
        <f t="shared" si="46"/>
        <v>9875.5397369863022</v>
      </c>
      <c r="W130" s="32">
        <f t="shared" si="55"/>
        <v>10073.050531726029</v>
      </c>
      <c r="X130" s="32">
        <f t="shared" si="56"/>
        <v>10270.561326465755</v>
      </c>
      <c r="Z130" t="s">
        <v>25</v>
      </c>
      <c r="AH130" s="99">
        <v>110</v>
      </c>
      <c r="AI130" s="113" t="s">
        <v>4637</v>
      </c>
      <c r="AJ130" s="113">
        <v>60000</v>
      </c>
      <c r="AK130" s="99">
        <v>1</v>
      </c>
      <c r="AL130" s="99">
        <f t="shared" si="54"/>
        <v>385</v>
      </c>
      <c r="AM130" s="117">
        <f t="shared" si="53"/>
        <v>23100000</v>
      </c>
      <c r="AN130" s="99" t="s">
        <v>4638</v>
      </c>
    </row>
    <row r="131" spans="7:43">
      <c r="G131" s="213"/>
      <c r="H131" s="213" t="s">
        <v>338</v>
      </c>
      <c r="I131" s="213"/>
      <c r="J131" s="1">
        <v>10000000</v>
      </c>
      <c r="Q131" s="169">
        <v>11345584</v>
      </c>
      <c r="R131" s="213" t="s">
        <v>5571</v>
      </c>
      <c r="S131" s="213">
        <f>S130-2</f>
        <v>0</v>
      </c>
      <c r="T131" s="213" t="s">
        <v>5580</v>
      </c>
      <c r="U131" s="213">
        <v>10396.200000000001</v>
      </c>
      <c r="V131" s="99">
        <f t="shared" si="46"/>
        <v>10554.222240000001</v>
      </c>
      <c r="W131" s="32">
        <f t="shared" si="55"/>
        <v>10765.306684800002</v>
      </c>
      <c r="X131" s="32">
        <f t="shared" si="56"/>
        <v>10976.391129600001</v>
      </c>
      <c r="Y131" t="s">
        <v>25</v>
      </c>
      <c r="AH131" s="20">
        <v>111</v>
      </c>
      <c r="AI131" s="117" t="s">
        <v>4646</v>
      </c>
      <c r="AJ131" s="117">
        <v>4750000</v>
      </c>
      <c r="AK131" s="20">
        <v>0</v>
      </c>
      <c r="AL131" s="99">
        <f t="shared" si="54"/>
        <v>384</v>
      </c>
      <c r="AM131" s="117">
        <f t="shared" si="53"/>
        <v>1824000000</v>
      </c>
      <c r="AN131" s="20"/>
      <c r="AQ131" t="s">
        <v>25</v>
      </c>
    </row>
    <row r="132" spans="7:43">
      <c r="G132" s="213"/>
      <c r="H132" s="213"/>
      <c r="I132" s="1">
        <f>J132-J129</f>
        <v>38869215.399999999</v>
      </c>
      <c r="J132" s="1">
        <f>SUM(J130:J131)</f>
        <v>58664215.399999999</v>
      </c>
      <c r="K132" t="s">
        <v>25</v>
      </c>
      <c r="P132" t="s">
        <v>25</v>
      </c>
      <c r="Q132" s="169">
        <v>91082007</v>
      </c>
      <c r="R132" s="213" t="s">
        <v>5571</v>
      </c>
      <c r="S132" s="213">
        <f>S131</f>
        <v>0</v>
      </c>
      <c r="T132" s="213" t="s">
        <v>5582</v>
      </c>
      <c r="U132" s="213">
        <v>10640</v>
      </c>
      <c r="V132" s="99">
        <f t="shared" si="46"/>
        <v>10801.728000000001</v>
      </c>
      <c r="W132" s="32">
        <f t="shared" si="55"/>
        <v>11017.762560000001</v>
      </c>
      <c r="X132" s="32">
        <f t="shared" si="56"/>
        <v>11233.797120000001</v>
      </c>
      <c r="Y132" t="s">
        <v>25</v>
      </c>
      <c r="AH132" s="89">
        <v>112</v>
      </c>
      <c r="AI132" s="90" t="s">
        <v>4646</v>
      </c>
      <c r="AJ132" s="90">
        <v>13101160</v>
      </c>
      <c r="AK132" s="89">
        <v>1</v>
      </c>
      <c r="AL132" s="89">
        <f t="shared" si="54"/>
        <v>384</v>
      </c>
      <c r="AM132" s="90">
        <f t="shared" si="53"/>
        <v>5030845440</v>
      </c>
      <c r="AN132" s="89" t="s">
        <v>4649</v>
      </c>
    </row>
    <row r="133" spans="7:43">
      <c r="G133" s="213"/>
      <c r="H133" s="213"/>
      <c r="I133" s="213" t="s">
        <v>914</v>
      </c>
      <c r="J133" s="213" t="s">
        <v>6</v>
      </c>
      <c r="O133" s="96"/>
      <c r="Q133" s="169">
        <v>762381964</v>
      </c>
      <c r="R133" s="213" t="s">
        <v>5408</v>
      </c>
      <c r="S133" s="213">
        <f>S132-6</f>
        <v>-6</v>
      </c>
      <c r="T133" s="213" t="s">
        <v>5585</v>
      </c>
      <c r="U133" s="213">
        <v>12494</v>
      </c>
      <c r="V133" s="99">
        <f t="shared" si="46"/>
        <v>12626.402169863017</v>
      </c>
      <c r="W133" s="32">
        <f t="shared" ref="W133:W138" si="57">V133*(1+$W$19/100)</f>
        <v>12878.930213260277</v>
      </c>
      <c r="X133" s="32">
        <f t="shared" ref="X133:X138" si="58">V133*(1+$X$19/100)</f>
        <v>13131.458256657537</v>
      </c>
      <c r="AH133" s="20">
        <v>113</v>
      </c>
      <c r="AI133" s="117" t="s">
        <v>4648</v>
      </c>
      <c r="AJ133" s="117">
        <v>-980000</v>
      </c>
      <c r="AK133" s="20">
        <v>0</v>
      </c>
      <c r="AL133" s="99">
        <f t="shared" si="54"/>
        <v>383</v>
      </c>
      <c r="AM133" s="117">
        <f t="shared" si="53"/>
        <v>-375340000</v>
      </c>
      <c r="AN133" s="20"/>
    </row>
    <row r="134" spans="7:43">
      <c r="G134" s="181"/>
      <c r="H134" s="181"/>
      <c r="I134" s="181"/>
      <c r="J134" s="181"/>
      <c r="Q134" s="169">
        <v>125154182</v>
      </c>
      <c r="R134" s="213" t="s">
        <v>5408</v>
      </c>
      <c r="S134" s="213">
        <f>S133</f>
        <v>-6</v>
      </c>
      <c r="T134" s="213" t="s">
        <v>5587</v>
      </c>
      <c r="U134" s="213">
        <v>12840</v>
      </c>
      <c r="V134" s="99">
        <f t="shared" si="46"/>
        <v>12976.06882191781</v>
      </c>
      <c r="W134" s="32">
        <f t="shared" si="57"/>
        <v>13235.590198356167</v>
      </c>
      <c r="X134" s="32">
        <f t="shared" si="58"/>
        <v>13495.111574794522</v>
      </c>
      <c r="Y134" t="s">
        <v>25</v>
      </c>
      <c r="AH134" s="89">
        <v>114</v>
      </c>
      <c r="AI134" s="90" t="s">
        <v>4648</v>
      </c>
      <c r="AJ134" s="90">
        <v>13301790</v>
      </c>
      <c r="AK134" s="89">
        <v>0</v>
      </c>
      <c r="AL134" s="89">
        <f t="shared" si="54"/>
        <v>383</v>
      </c>
      <c r="AM134" s="90">
        <f t="shared" si="53"/>
        <v>5094585570</v>
      </c>
      <c r="AN134" s="89" t="s">
        <v>4649</v>
      </c>
      <c r="AQ134" t="s">
        <v>25</v>
      </c>
    </row>
    <row r="135" spans="7:43">
      <c r="G135" s="213"/>
      <c r="H135" s="213" t="s">
        <v>5468</v>
      </c>
      <c r="I135" s="213" t="s">
        <v>5474</v>
      </c>
      <c r="J135" s="1">
        <v>100000000</v>
      </c>
      <c r="K135" t="s">
        <v>25</v>
      </c>
      <c r="Q135" s="169">
        <v>7224034</v>
      </c>
      <c r="R135" s="213" t="s">
        <v>5584</v>
      </c>
      <c r="S135" s="213">
        <f>S134-1</f>
        <v>-7</v>
      </c>
      <c r="T135" s="213" t="s">
        <v>5596</v>
      </c>
      <c r="U135" s="213">
        <v>1044.7</v>
      </c>
      <c r="V135" s="99">
        <f t="shared" si="46"/>
        <v>1054.9695441095892</v>
      </c>
      <c r="W135" s="32">
        <f t="shared" si="57"/>
        <v>1076.0689349917809</v>
      </c>
      <c r="X135" s="32">
        <f t="shared" si="58"/>
        <v>1097.1683258739727</v>
      </c>
      <c r="AH135" s="20">
        <v>115</v>
      </c>
      <c r="AI135" s="117" t="s">
        <v>4648</v>
      </c>
      <c r="AJ135" s="117">
        <v>404000</v>
      </c>
      <c r="AK135" s="20">
        <v>5</v>
      </c>
      <c r="AL135" s="99">
        <f t="shared" si="54"/>
        <v>383</v>
      </c>
      <c r="AM135" s="117">
        <f t="shared" si="53"/>
        <v>154732000</v>
      </c>
      <c r="AN135" s="20" t="s">
        <v>4655</v>
      </c>
    </row>
    <row r="136" spans="7:43">
      <c r="G136" s="1">
        <f>P45</f>
        <v>1044.7</v>
      </c>
      <c r="H136" s="213" t="s">
        <v>4233</v>
      </c>
      <c r="I136" s="213">
        <v>180008</v>
      </c>
      <c r="J136" s="1">
        <f>G136*I136</f>
        <v>188054357.59999999</v>
      </c>
      <c r="P136" t="s">
        <v>25</v>
      </c>
      <c r="Q136" s="169"/>
      <c r="R136" s="213"/>
      <c r="S136" s="213"/>
      <c r="T136" s="213"/>
      <c r="U136" s="213"/>
      <c r="V136" s="99">
        <f t="shared" si="46"/>
        <v>0</v>
      </c>
      <c r="W136" s="32">
        <f t="shared" si="57"/>
        <v>0</v>
      </c>
      <c r="X136" s="32">
        <f t="shared" si="58"/>
        <v>0</v>
      </c>
      <c r="Y136" t="s">
        <v>25</v>
      </c>
      <c r="AH136" s="89">
        <v>116</v>
      </c>
      <c r="AI136" s="90" t="s">
        <v>4665</v>
      </c>
      <c r="AJ136" s="90">
        <v>4291628</v>
      </c>
      <c r="AK136" s="89">
        <v>2</v>
      </c>
      <c r="AL136" s="89">
        <f t="shared" si="54"/>
        <v>378</v>
      </c>
      <c r="AM136" s="90">
        <f t="shared" si="53"/>
        <v>1622235384</v>
      </c>
      <c r="AN136" s="89" t="s">
        <v>4666</v>
      </c>
    </row>
    <row r="137" spans="7:43">
      <c r="G137" s="1">
        <f>P43</f>
        <v>12522</v>
      </c>
      <c r="H137" s="213" t="s">
        <v>4383</v>
      </c>
      <c r="I137" s="213">
        <v>645</v>
      </c>
      <c r="J137" s="1">
        <f>G137*I137</f>
        <v>8076690</v>
      </c>
      <c r="Q137" s="169"/>
      <c r="R137" s="213"/>
      <c r="S137" s="213"/>
      <c r="T137" s="213"/>
      <c r="U137" s="213"/>
      <c r="V137" s="99">
        <f t="shared" si="46"/>
        <v>0</v>
      </c>
      <c r="W137" s="32">
        <f t="shared" si="57"/>
        <v>0</v>
      </c>
      <c r="X137" s="32">
        <f t="shared" si="58"/>
        <v>0</v>
      </c>
      <c r="Y137" t="s">
        <v>25</v>
      </c>
      <c r="Z137" t="s">
        <v>25</v>
      </c>
      <c r="AH137" s="20">
        <v>117</v>
      </c>
      <c r="AI137" s="117" t="s">
        <v>4668</v>
      </c>
      <c r="AJ137" s="117">
        <v>1000</v>
      </c>
      <c r="AK137" s="20">
        <v>5</v>
      </c>
      <c r="AL137" s="20">
        <f t="shared" si="54"/>
        <v>376</v>
      </c>
      <c r="AM137" s="117">
        <f t="shared" si="53"/>
        <v>376000</v>
      </c>
      <c r="AN137" s="20"/>
    </row>
    <row r="138" spans="7:43">
      <c r="G138" s="213">
        <v>1</v>
      </c>
      <c r="H138" s="213" t="s">
        <v>751</v>
      </c>
      <c r="I138" s="213">
        <v>12112342</v>
      </c>
      <c r="J138" s="1">
        <f>G138*I138</f>
        <v>12112342</v>
      </c>
      <c r="Q138" s="169"/>
      <c r="R138" s="168"/>
      <c r="S138" s="168"/>
      <c r="T138" s="168"/>
      <c r="U138" s="168"/>
      <c r="V138" s="99">
        <f t="shared" si="46"/>
        <v>0</v>
      </c>
      <c r="W138" s="32">
        <f t="shared" si="57"/>
        <v>0</v>
      </c>
      <c r="X138" s="32">
        <f t="shared" si="58"/>
        <v>0</v>
      </c>
      <c r="Y138" t="s">
        <v>25</v>
      </c>
      <c r="AH138" s="121">
        <v>118</v>
      </c>
      <c r="AI138" s="79" t="s">
        <v>4676</v>
      </c>
      <c r="AJ138" s="79">
        <v>8739459</v>
      </c>
      <c r="AK138" s="121">
        <v>2</v>
      </c>
      <c r="AL138" s="121">
        <f t="shared" si="54"/>
        <v>371</v>
      </c>
      <c r="AM138" s="79">
        <f t="shared" si="53"/>
        <v>3242339289</v>
      </c>
      <c r="AN138" s="121" t="s">
        <v>4636</v>
      </c>
    </row>
    <row r="139" spans="7:43">
      <c r="G139" s="213"/>
      <c r="H139" s="213"/>
      <c r="I139" s="213"/>
      <c r="J139" s="1"/>
      <c r="Q139" s="113">
        <f>SUM(N40:N47)-SUM(Q84:Q138)</f>
        <v>1942472798.2</v>
      </c>
      <c r="R139" s="112"/>
      <c r="S139" s="112"/>
      <c r="T139" s="112"/>
      <c r="U139" s="168"/>
      <c r="V139" s="99" t="s">
        <v>25</v>
      </c>
      <c r="W139" s="32"/>
      <c r="X139" s="32"/>
      <c r="AH139" s="121">
        <v>119</v>
      </c>
      <c r="AI139" s="79" t="s">
        <v>4677</v>
      </c>
      <c r="AJ139" s="79">
        <v>17595278</v>
      </c>
      <c r="AK139" s="121">
        <v>1</v>
      </c>
      <c r="AL139" s="121">
        <f t="shared" si="54"/>
        <v>369</v>
      </c>
      <c r="AM139" s="79">
        <f t="shared" si="53"/>
        <v>6492657582</v>
      </c>
      <c r="AN139" s="121" t="s">
        <v>4679</v>
      </c>
      <c r="AQ139" t="s">
        <v>25</v>
      </c>
    </row>
    <row r="140" spans="7:43">
      <c r="G140" s="213"/>
      <c r="H140" s="213"/>
      <c r="I140" s="213"/>
      <c r="J140" s="1"/>
      <c r="K140" s="96"/>
      <c r="L140" s="96"/>
      <c r="M140" t="s">
        <v>25</v>
      </c>
      <c r="P140" s="114"/>
      <c r="Q140" s="26"/>
      <c r="R140" s="181"/>
      <c r="S140" s="181"/>
      <c r="T140" t="s">
        <v>25</v>
      </c>
      <c r="U140" s="96" t="s">
        <v>25</v>
      </c>
      <c r="V140" s="96" t="s">
        <v>25</v>
      </c>
      <c r="W140" s="96" t="s">
        <v>25</v>
      </c>
      <c r="Z140" t="s">
        <v>25</v>
      </c>
      <c r="AH140" s="121">
        <v>120</v>
      </c>
      <c r="AI140" s="79" t="s">
        <v>4678</v>
      </c>
      <c r="AJ140" s="79">
        <v>13335309</v>
      </c>
      <c r="AK140" s="121">
        <v>13</v>
      </c>
      <c r="AL140" s="121">
        <f t="shared" si="54"/>
        <v>368</v>
      </c>
      <c r="AM140" s="79">
        <f t="shared" si="53"/>
        <v>4907393712</v>
      </c>
      <c r="AN140" s="121" t="s">
        <v>4649</v>
      </c>
    </row>
    <row r="141" spans="7:43">
      <c r="G141" s="213"/>
      <c r="H141" s="213"/>
      <c r="I141" s="1">
        <f>J141-J135</f>
        <v>108243389.59999999</v>
      </c>
      <c r="J141" s="1">
        <f>SUM(J136:J138)</f>
        <v>208243389.59999999</v>
      </c>
      <c r="R141" s="32" t="s">
        <v>4555</v>
      </c>
      <c r="S141" s="32" t="s">
        <v>947</v>
      </c>
      <c r="T141" t="s">
        <v>25</v>
      </c>
      <c r="U141" s="96" t="s">
        <v>25</v>
      </c>
      <c r="V141" s="96" t="s">
        <v>25</v>
      </c>
      <c r="W141" s="96" t="s">
        <v>25</v>
      </c>
      <c r="X141" s="122" t="s">
        <v>25</v>
      </c>
      <c r="Y141" t="s">
        <v>25</v>
      </c>
      <c r="AA141" t="s">
        <v>25</v>
      </c>
      <c r="AH141" s="161">
        <v>121</v>
      </c>
      <c r="AI141" s="228" t="s">
        <v>4729</v>
      </c>
      <c r="AJ141" s="228">
        <v>50000000</v>
      </c>
      <c r="AK141" s="161">
        <v>11</v>
      </c>
      <c r="AL141" s="161">
        <f t="shared" si="54"/>
        <v>355</v>
      </c>
      <c r="AM141" s="228">
        <f t="shared" si="53"/>
        <v>17750000000</v>
      </c>
      <c r="AN141" s="161" t="s">
        <v>4731</v>
      </c>
      <c r="AP141" t="s">
        <v>25</v>
      </c>
    </row>
    <row r="142" spans="7:43">
      <c r="G142" s="213"/>
      <c r="H142" s="213"/>
      <c r="I142" s="213" t="s">
        <v>914</v>
      </c>
      <c r="J142" s="213" t="s">
        <v>6</v>
      </c>
      <c r="K142" s="96"/>
      <c r="L142" s="96"/>
      <c r="R142" s="32">
        <v>1011632</v>
      </c>
      <c r="S142" s="35">
        <v>198647697</v>
      </c>
      <c r="T142" t="s">
        <v>25</v>
      </c>
      <c r="U142" s="96" t="s">
        <v>25</v>
      </c>
      <c r="V142" s="122" t="s">
        <v>25</v>
      </c>
      <c r="W142" s="96" t="s">
        <v>25</v>
      </c>
      <c r="X142" t="s">
        <v>25</v>
      </c>
      <c r="Y142" t="s">
        <v>25</v>
      </c>
      <c r="AH142" s="20">
        <v>122</v>
      </c>
      <c r="AI142" s="117" t="s">
        <v>971</v>
      </c>
      <c r="AJ142" s="117">
        <v>30000</v>
      </c>
      <c r="AK142" s="20">
        <v>3</v>
      </c>
      <c r="AL142" s="20">
        <f t="shared" si="54"/>
        <v>344</v>
      </c>
      <c r="AM142" s="117">
        <f t="shared" si="53"/>
        <v>10320000</v>
      </c>
      <c r="AN142" s="20"/>
    </row>
    <row r="143" spans="7:43">
      <c r="G143" s="181"/>
      <c r="H143" s="181"/>
      <c r="I143" s="181"/>
      <c r="J143" s="181"/>
      <c r="K143" t="s">
        <v>25</v>
      </c>
      <c r="Q143" t="s">
        <v>25</v>
      </c>
      <c r="R143" s="32">
        <v>205494</v>
      </c>
      <c r="S143" s="1">
        <f>S142*R143/R142</f>
        <v>40351540.725597844</v>
      </c>
      <c r="T143" s="114" t="s">
        <v>25</v>
      </c>
      <c r="U143" s="96" t="s">
        <v>25</v>
      </c>
      <c r="V143" s="122" t="s">
        <v>25</v>
      </c>
      <c r="W143" s="96" t="s">
        <v>25</v>
      </c>
      <c r="X143" t="s">
        <v>25</v>
      </c>
      <c r="Y143" t="s">
        <v>25</v>
      </c>
      <c r="AH143" s="20">
        <v>123</v>
      </c>
      <c r="AI143" s="117" t="s">
        <v>4791</v>
      </c>
      <c r="AJ143" s="117">
        <v>600000</v>
      </c>
      <c r="AK143" s="20">
        <v>1</v>
      </c>
      <c r="AL143" s="20">
        <f t="shared" si="54"/>
        <v>341</v>
      </c>
      <c r="AM143" s="117">
        <f t="shared" si="53"/>
        <v>204600000</v>
      </c>
      <c r="AN143" s="20"/>
    </row>
    <row r="144" spans="7:43">
      <c r="R144" s="32">
        <f>R142-R143</f>
        <v>806138</v>
      </c>
      <c r="S144" s="1">
        <f>R144*S142/R142</f>
        <v>158296156.27440214</v>
      </c>
      <c r="T144" t="s">
        <v>25</v>
      </c>
      <c r="U144" s="122" t="s">
        <v>25</v>
      </c>
      <c r="V144" s="96"/>
      <c r="W144" s="122" t="s">
        <v>25</v>
      </c>
      <c r="X144" t="s">
        <v>25</v>
      </c>
      <c r="Y144" t="s">
        <v>25</v>
      </c>
      <c r="AH144" s="20">
        <v>124</v>
      </c>
      <c r="AI144" s="117" t="s">
        <v>4794</v>
      </c>
      <c r="AJ144" s="117">
        <v>30000</v>
      </c>
      <c r="AK144" s="20">
        <v>3</v>
      </c>
      <c r="AL144" s="20">
        <f t="shared" si="54"/>
        <v>340</v>
      </c>
      <c r="AM144" s="117">
        <f t="shared" si="53"/>
        <v>10200000</v>
      </c>
      <c r="AN144" s="20"/>
    </row>
    <row r="145" spans="5:44">
      <c r="G145" s="99"/>
      <c r="H145" s="99"/>
      <c r="I145" s="99" t="s">
        <v>5600</v>
      </c>
      <c r="J145" s="1">
        <v>20000000</v>
      </c>
      <c r="K145" s="278"/>
      <c r="L145" s="291"/>
      <c r="V145" s="96"/>
      <c r="W145"/>
      <c r="X145" t="s">
        <v>25</v>
      </c>
      <c r="Y145" s="122" t="s">
        <v>25</v>
      </c>
      <c r="AH145" s="20">
        <v>125</v>
      </c>
      <c r="AI145" s="117" t="s">
        <v>4800</v>
      </c>
      <c r="AJ145" s="117">
        <v>2250000</v>
      </c>
      <c r="AK145" s="20">
        <v>1</v>
      </c>
      <c r="AL145" s="20">
        <f t="shared" si="54"/>
        <v>337</v>
      </c>
      <c r="AM145" s="117">
        <f t="shared" ref="AM145:AM147" si="59">AJ145*AL145</f>
        <v>758250000</v>
      </c>
      <c r="AN145" s="20"/>
      <c r="AR145" t="s">
        <v>25</v>
      </c>
    </row>
    <row r="146" spans="5:44">
      <c r="G146" s="99">
        <f>P45</f>
        <v>1044.7</v>
      </c>
      <c r="H146" s="99" t="s">
        <v>4233</v>
      </c>
      <c r="I146" s="99">
        <v>30054</v>
      </c>
      <c r="J146" s="1">
        <f>G146*I146</f>
        <v>31397413.800000001</v>
      </c>
      <c r="Q146" s="99" t="s">
        <v>4447</v>
      </c>
      <c r="R146" s="99" t="s">
        <v>4449</v>
      </c>
      <c r="S146" s="99"/>
      <c r="T146" s="99" t="s">
        <v>4450</v>
      </c>
      <c r="U146" s="99"/>
      <c r="V146" s="99"/>
      <c r="W146" s="99" t="s">
        <v>4558</v>
      </c>
      <c r="X146" t="s">
        <v>25</v>
      </c>
      <c r="AH146" s="23">
        <v>126</v>
      </c>
      <c r="AI146" s="35" t="s">
        <v>4805</v>
      </c>
      <c r="AJ146" s="35">
        <v>-31412200</v>
      </c>
      <c r="AK146" s="23">
        <v>1</v>
      </c>
      <c r="AL146" s="20">
        <f t="shared" si="54"/>
        <v>336</v>
      </c>
      <c r="AM146" s="35">
        <f t="shared" si="59"/>
        <v>-10554499200</v>
      </c>
      <c r="AN146" s="23" t="s">
        <v>4793</v>
      </c>
    </row>
    <row r="147" spans="5:44">
      <c r="G147" s="99">
        <f>P43</f>
        <v>12522</v>
      </c>
      <c r="H147" s="99" t="s">
        <v>4383</v>
      </c>
      <c r="I147" s="99">
        <v>1150</v>
      </c>
      <c r="J147" s="1">
        <f>G147*I147</f>
        <v>14400300</v>
      </c>
      <c r="K147" t="s">
        <v>25</v>
      </c>
      <c r="P147" t="s">
        <v>25</v>
      </c>
      <c r="Q147" s="113">
        <v>1000</v>
      </c>
      <c r="R147" s="99">
        <v>0.25</v>
      </c>
      <c r="S147" s="99"/>
      <c r="T147" s="99">
        <f>1-R147</f>
        <v>0.75</v>
      </c>
      <c r="U147" s="99"/>
      <c r="V147" s="99"/>
      <c r="W147" s="99"/>
      <c r="Z147" s="96"/>
      <c r="AH147" s="20">
        <v>127</v>
      </c>
      <c r="AI147" s="117" t="s">
        <v>4814</v>
      </c>
      <c r="AJ147" s="117">
        <v>70000</v>
      </c>
      <c r="AK147" s="20">
        <v>9</v>
      </c>
      <c r="AL147" s="20">
        <f t="shared" si="54"/>
        <v>335</v>
      </c>
      <c r="AM147" s="117">
        <f t="shared" si="59"/>
        <v>23450000</v>
      </c>
      <c r="AN147" s="20"/>
    </row>
    <row r="148" spans="5:44">
      <c r="G148" s="99">
        <f>P41</f>
        <v>84600</v>
      </c>
      <c r="H148" s="99" t="s">
        <v>5335</v>
      </c>
      <c r="I148" s="99">
        <v>52</v>
      </c>
      <c r="J148" s="1">
        <f>G148*I148</f>
        <v>4399200</v>
      </c>
      <c r="P148" s="96"/>
      <c r="Q148" s="168" t="s">
        <v>4434</v>
      </c>
      <c r="R148" s="168" t="s">
        <v>4452</v>
      </c>
      <c r="S148" s="168" t="s">
        <v>4453</v>
      </c>
      <c r="T148" s="168"/>
      <c r="U148" s="168" t="s">
        <v>4448</v>
      </c>
      <c r="V148" s="56" t="s">
        <v>4451</v>
      </c>
      <c r="W148" s="99"/>
      <c r="X148" s="96" t="s">
        <v>25</v>
      </c>
      <c r="Z148" s="96" t="s">
        <v>25</v>
      </c>
      <c r="AH148" s="99">
        <v>128</v>
      </c>
      <c r="AI148" s="113" t="s">
        <v>4821</v>
      </c>
      <c r="AJ148" s="113">
        <v>20000</v>
      </c>
      <c r="AK148" s="99">
        <v>10</v>
      </c>
      <c r="AL148" s="20">
        <f t="shared" si="54"/>
        <v>326</v>
      </c>
      <c r="AM148" s="117">
        <f t="shared" ref="AM148:AM149" si="60">AJ148*AL148</f>
        <v>6520000</v>
      </c>
      <c r="AN148" s="20"/>
      <c r="AP148" t="s">
        <v>25</v>
      </c>
    </row>
    <row r="149" spans="5:44">
      <c r="G149" s="99"/>
      <c r="H149" s="99" t="s">
        <v>5337</v>
      </c>
      <c r="I149" s="99">
        <v>0</v>
      </c>
      <c r="J149" s="1">
        <f>I149</f>
        <v>0</v>
      </c>
      <c r="N149" s="188">
        <v>8644090</v>
      </c>
      <c r="O149" s="32" t="s">
        <v>1083</v>
      </c>
      <c r="P149" s="96"/>
      <c r="Q149" s="168" t="s">
        <v>749</v>
      </c>
      <c r="R149" s="56">
        <v>1552738</v>
      </c>
      <c r="S149" s="113">
        <f>R149*$T$336</f>
        <v>2618200396.2886925</v>
      </c>
      <c r="T149" s="168"/>
      <c r="U149" s="168">
        <f>$Q$147*$T$147*S149/$R$176</f>
        <v>329.7599418267323</v>
      </c>
      <c r="V149" s="95">
        <f>S149+U149</f>
        <v>2618200726.0486345</v>
      </c>
      <c r="W149" s="99">
        <f>R149*100/U333</f>
        <v>43.967992243564311</v>
      </c>
      <c r="X149" s="217"/>
      <c r="Z149" s="96"/>
      <c r="AH149" s="99">
        <v>129</v>
      </c>
      <c r="AI149" s="113" t="s">
        <v>4841</v>
      </c>
      <c r="AJ149" s="113">
        <v>1000000</v>
      </c>
      <c r="AK149" s="99">
        <v>1</v>
      </c>
      <c r="AL149" s="20">
        <f t="shared" si="54"/>
        <v>316</v>
      </c>
      <c r="AM149" s="117">
        <f t="shared" si="60"/>
        <v>316000000</v>
      </c>
      <c r="AN149" s="20"/>
    </row>
    <row r="150" spans="5:44">
      <c r="E150" s="123"/>
      <c r="G150" s="99"/>
      <c r="H150" s="99" t="s">
        <v>950</v>
      </c>
      <c r="I150" s="271">
        <f>J146+J147+J148+J149-J145</f>
        <v>30196913.799999997</v>
      </c>
      <c r="J150" s="1"/>
      <c r="N150" s="188">
        <v>65461942</v>
      </c>
      <c r="O150" s="303" t="s">
        <v>749</v>
      </c>
      <c r="Q150" s="168" t="s">
        <v>4436</v>
      </c>
      <c r="R150" s="56">
        <v>1809710</v>
      </c>
      <c r="S150" s="113">
        <f>R150*$T$336</f>
        <v>3051502210.3971238</v>
      </c>
      <c r="T150" s="168"/>
      <c r="U150" s="213">
        <f>$Q$147*$T$147*S150/$R$176</f>
        <v>384.33390843996585</v>
      </c>
      <c r="V150" s="95">
        <f t="shared" ref="V150:V151" si="61">S150+U150</f>
        <v>3051502594.7310324</v>
      </c>
      <c r="W150" s="99">
        <f>R150*100/U333</f>
        <v>51.244521125328788</v>
      </c>
      <c r="X150" s="115"/>
      <c r="Y150" t="s">
        <v>25</v>
      </c>
      <c r="Z150" s="96"/>
      <c r="AA150" s="114"/>
      <c r="AC150" s="114"/>
      <c r="AD150" s="114"/>
      <c r="AH150" s="99">
        <v>130</v>
      </c>
      <c r="AI150" s="113" t="s">
        <v>4842</v>
      </c>
      <c r="AJ150" s="113">
        <v>65630227</v>
      </c>
      <c r="AK150" s="99">
        <v>0</v>
      </c>
      <c r="AL150" s="20">
        <f t="shared" si="54"/>
        <v>315</v>
      </c>
      <c r="AM150" s="117">
        <f t="shared" ref="AM150:AM177" si="62">AJ150*AL150</f>
        <v>20673521505</v>
      </c>
      <c r="AN150" s="20" t="s">
        <v>4845</v>
      </c>
      <c r="AP150" t="s">
        <v>25</v>
      </c>
      <c r="AR150" t="s">
        <v>25</v>
      </c>
    </row>
    <row r="151" spans="5:44">
      <c r="K151" t="s">
        <v>25</v>
      </c>
      <c r="N151" s="188">
        <v>130382924</v>
      </c>
      <c r="O151" s="32" t="s">
        <v>452</v>
      </c>
      <c r="Q151" s="168" t="s">
        <v>4435</v>
      </c>
      <c r="R151" s="56">
        <v>51212</v>
      </c>
      <c r="S151" s="113">
        <f>R151*$T$336</f>
        <v>86352803.045160562</v>
      </c>
      <c r="T151" s="168"/>
      <c r="U151" s="213">
        <f>$Q$147*$T$147*S151/$R$176</f>
        <v>10.876056450496231</v>
      </c>
      <c r="V151" s="95">
        <f t="shared" si="61"/>
        <v>86352813.921217009</v>
      </c>
      <c r="W151" s="99">
        <f>R151*100/U333</f>
        <v>1.4501408600661643</v>
      </c>
      <c r="X151" s="115"/>
      <c r="Y151" t="s">
        <v>25</v>
      </c>
      <c r="Z151" s="96" t="s">
        <v>25</v>
      </c>
      <c r="AA151" s="114"/>
      <c r="AC151" s="114"/>
      <c r="AH151" s="99">
        <v>131</v>
      </c>
      <c r="AI151" s="113" t="s">
        <v>4842</v>
      </c>
      <c r="AJ151" s="113">
        <v>-3500000</v>
      </c>
      <c r="AK151" s="99">
        <v>6</v>
      </c>
      <c r="AL151" s="20">
        <f t="shared" si="54"/>
        <v>315</v>
      </c>
      <c r="AM151" s="117">
        <f t="shared" si="62"/>
        <v>-1102500000</v>
      </c>
      <c r="AN151" s="20" t="s">
        <v>4844</v>
      </c>
    </row>
    <row r="152" spans="5:44">
      <c r="K152" t="s">
        <v>25</v>
      </c>
      <c r="N152" s="188">
        <v>3283000</v>
      </c>
      <c r="O152" s="32" t="s">
        <v>5573</v>
      </c>
      <c r="Q152" s="168" t="s">
        <v>1083</v>
      </c>
      <c r="R152" s="56">
        <v>115465</v>
      </c>
      <c r="S152" s="113">
        <f>R152*$T$336</f>
        <v>194695118.40212184</v>
      </c>
      <c r="T152" s="168"/>
      <c r="U152" s="213">
        <f>$Q$147*$T$147*S152/$R$176</f>
        <v>24.521671835830414</v>
      </c>
      <c r="V152" s="95">
        <f>S152+U152</f>
        <v>194695142.92379367</v>
      </c>
      <c r="W152" s="99">
        <f>R152*100/U333</f>
        <v>3.2695562447773892</v>
      </c>
      <c r="X152" s="115"/>
      <c r="Y152" t="s">
        <v>25</v>
      </c>
      <c r="Z152" s="96"/>
      <c r="AA152" s="114"/>
      <c r="AC152" s="114"/>
      <c r="AD152" s="114"/>
      <c r="AH152" s="99">
        <v>132</v>
      </c>
      <c r="AI152" s="113" t="s">
        <v>4855</v>
      </c>
      <c r="AJ152" s="113">
        <v>2520000</v>
      </c>
      <c r="AK152" s="99">
        <v>12</v>
      </c>
      <c r="AL152" s="20">
        <f t="shared" si="54"/>
        <v>309</v>
      </c>
      <c r="AM152" s="117">
        <f t="shared" si="62"/>
        <v>778680000</v>
      </c>
      <c r="AN152" s="20"/>
    </row>
    <row r="153" spans="5:44">
      <c r="I153">
        <f>39042-I146</f>
        <v>8988</v>
      </c>
      <c r="J153" s="114">
        <f>I153*$G$146</f>
        <v>9389763.5999999996</v>
      </c>
      <c r="N153" s="188">
        <v>8820392</v>
      </c>
      <c r="O153" s="32" t="s">
        <v>5574</v>
      </c>
      <c r="P153" s="114"/>
      <c r="Q153" s="168" t="s">
        <v>5480</v>
      </c>
      <c r="R153" s="56">
        <v>2394</v>
      </c>
      <c r="S153" s="113">
        <f>R153*$T$336</f>
        <v>4036722.0669006165</v>
      </c>
      <c r="T153" s="168"/>
      <c r="U153" s="168">
        <f>$Q$147*$T$147*S153/$R$176</f>
        <v>0.50842144697508351</v>
      </c>
      <c r="V153" s="95">
        <f>S153+U153</f>
        <v>4036722.5753220636</v>
      </c>
      <c r="W153" s="99">
        <f>R153*100/U333</f>
        <v>6.7789526263344474E-2</v>
      </c>
      <c r="X153" s="114"/>
      <c r="Y153" s="96" t="s">
        <v>25</v>
      </c>
      <c r="Z153" s="96"/>
      <c r="AH153" s="99">
        <v>133</v>
      </c>
      <c r="AI153" s="113" t="s">
        <v>4890</v>
      </c>
      <c r="AJ153" s="113">
        <v>1400000</v>
      </c>
      <c r="AK153" s="99">
        <v>4</v>
      </c>
      <c r="AL153" s="20">
        <f t="shared" si="54"/>
        <v>297</v>
      </c>
      <c r="AM153" s="117">
        <f t="shared" si="62"/>
        <v>415800000</v>
      </c>
      <c r="AN153" s="20"/>
    </row>
    <row r="154" spans="5:44">
      <c r="I154">
        <v>10107.271699999999</v>
      </c>
      <c r="J154" s="114">
        <f>I154*$G$146</f>
        <v>10559066.744990001</v>
      </c>
      <c r="N154" s="188">
        <v>1410073</v>
      </c>
      <c r="O154" s="1" t="s">
        <v>5575</v>
      </c>
      <c r="P154" s="114"/>
      <c r="Q154" s="168"/>
      <c r="R154" s="168"/>
      <c r="S154" s="168"/>
      <c r="T154" s="168"/>
      <c r="U154" s="168"/>
      <c r="V154" s="168"/>
      <c r="W154" s="99"/>
      <c r="X154" s="96"/>
      <c r="Y154" s="122" t="s">
        <v>25</v>
      </c>
      <c r="Z154" s="122" t="s">
        <v>25</v>
      </c>
      <c r="AH154" s="99">
        <v>134</v>
      </c>
      <c r="AI154" s="113" t="s">
        <v>4914</v>
      </c>
      <c r="AJ154" s="113">
        <v>1550000</v>
      </c>
      <c r="AK154" s="99">
        <v>2</v>
      </c>
      <c r="AL154" s="20">
        <f t="shared" si="54"/>
        <v>293</v>
      </c>
      <c r="AM154" s="117">
        <f t="shared" si="62"/>
        <v>454150000</v>
      </c>
      <c r="AN154" s="20"/>
    </row>
    <row r="155" spans="5:44">
      <c r="I155">
        <f>I153-I154</f>
        <v>-1119.2716999999993</v>
      </c>
      <c r="J155" s="114">
        <f>I155*$G$146</f>
        <v>-1169303.1449899992</v>
      </c>
      <c r="N155" s="117">
        <v>186396</v>
      </c>
      <c r="O155" s="32" t="s">
        <v>5590</v>
      </c>
      <c r="P155" s="114"/>
      <c r="Q155" s="99"/>
      <c r="R155" s="99"/>
      <c r="S155" s="99"/>
      <c r="T155" s="99" t="s">
        <v>25</v>
      </c>
      <c r="U155" s="99"/>
      <c r="V155" s="99"/>
      <c r="W155" s="99"/>
      <c r="X155" s="96"/>
      <c r="Y155" s="122" t="s">
        <v>25</v>
      </c>
      <c r="Z155" s="96" t="s">
        <v>25</v>
      </c>
      <c r="AH155" s="99">
        <v>135</v>
      </c>
      <c r="AI155" s="113" t="s">
        <v>4862</v>
      </c>
      <c r="AJ155" s="113">
        <v>250000</v>
      </c>
      <c r="AK155" s="99">
        <v>6</v>
      </c>
      <c r="AL155" s="20">
        <f t="shared" si="54"/>
        <v>291</v>
      </c>
      <c r="AM155" s="117">
        <f t="shared" si="62"/>
        <v>72750000</v>
      </c>
      <c r="AN155" s="20"/>
    </row>
    <row r="156" spans="5:44">
      <c r="L156" t="s">
        <v>25</v>
      </c>
      <c r="N156" t="s">
        <v>25</v>
      </c>
      <c r="Q156" s="99"/>
      <c r="R156" s="99"/>
      <c r="S156" s="99"/>
      <c r="T156" s="99"/>
      <c r="U156" s="99"/>
      <c r="V156" s="99"/>
      <c r="W156" s="99"/>
      <c r="X156" s="96"/>
      <c r="Y156" s="122" t="s">
        <v>25</v>
      </c>
      <c r="Z156" s="96"/>
      <c r="AH156" s="99">
        <v>136</v>
      </c>
      <c r="AI156" s="113" t="s">
        <v>4924</v>
      </c>
      <c r="AJ156" s="113">
        <v>-48527480</v>
      </c>
      <c r="AK156" s="99">
        <v>14</v>
      </c>
      <c r="AL156" s="20">
        <f t="shared" si="54"/>
        <v>285</v>
      </c>
      <c r="AM156" s="117">
        <f t="shared" si="62"/>
        <v>-13830331800</v>
      </c>
      <c r="AN156" s="20" t="s">
        <v>4926</v>
      </c>
    </row>
    <row r="157" spans="5:44">
      <c r="J157" s="114">
        <f>J154-J148</f>
        <v>6159866.7449900005</v>
      </c>
      <c r="Q157" s="99"/>
      <c r="R157" s="99"/>
      <c r="S157" s="99"/>
      <c r="T157" s="99"/>
      <c r="U157" s="99"/>
      <c r="V157" s="99"/>
      <c r="W157" s="99"/>
      <c r="X157" s="96"/>
      <c r="Y157" s="96"/>
      <c r="Z157" s="96"/>
      <c r="AH157" s="99">
        <v>137</v>
      </c>
      <c r="AI157" s="113" t="s">
        <v>4951</v>
      </c>
      <c r="AJ157" s="113">
        <v>2100000</v>
      </c>
      <c r="AK157" s="99">
        <v>1</v>
      </c>
      <c r="AL157" s="20">
        <f t="shared" si="54"/>
        <v>271</v>
      </c>
      <c r="AM157" s="117">
        <f t="shared" si="62"/>
        <v>569100000</v>
      </c>
      <c r="AN157" s="20"/>
    </row>
    <row r="158" spans="5:44">
      <c r="N158" s="114"/>
      <c r="O158" s="114"/>
      <c r="Q158" s="96"/>
      <c r="R158" s="96"/>
      <c r="S158" s="96"/>
      <c r="T158" s="96"/>
      <c r="V158" s="96"/>
      <c r="X158" s="115"/>
      <c r="Y158" s="96"/>
      <c r="Z158" s="96"/>
      <c r="AH158" s="99">
        <v>138</v>
      </c>
      <c r="AI158" s="113" t="s">
        <v>4954</v>
      </c>
      <c r="AJ158" s="113">
        <v>100000</v>
      </c>
      <c r="AK158" s="99">
        <v>4</v>
      </c>
      <c r="AL158" s="20">
        <f>AL159+AK158</f>
        <v>270</v>
      </c>
      <c r="AM158" s="117">
        <f t="shared" si="62"/>
        <v>27000000</v>
      </c>
      <c r="AN158" s="20"/>
    </row>
    <row r="159" spans="5:44">
      <c r="J159" t="s">
        <v>25</v>
      </c>
      <c r="P159" s="114"/>
      <c r="Q159" s="99" t="s">
        <v>5000</v>
      </c>
      <c r="R159" s="95">
        <f>S149-R164</f>
        <v>768596704.08869243</v>
      </c>
      <c r="S159" s="96"/>
      <c r="T159" s="96"/>
      <c r="V159" s="96"/>
      <c r="Y159" s="96" t="s">
        <v>25</v>
      </c>
      <c r="Z159" s="96"/>
      <c r="AH159" s="99">
        <v>139</v>
      </c>
      <c r="AI159" s="113" t="s">
        <v>4959</v>
      </c>
      <c r="AJ159" s="113">
        <v>900000</v>
      </c>
      <c r="AK159" s="99">
        <v>0</v>
      </c>
      <c r="AL159" s="20">
        <f t="shared" ref="AL159:AL168" si="63">AL160+AK159</f>
        <v>266</v>
      </c>
      <c r="AM159" s="117">
        <f t="shared" ref="AM159:AM168" si="64">AJ159*AL159</f>
        <v>239400000</v>
      </c>
      <c r="AN159" s="20"/>
      <c r="AP159" t="s">
        <v>25</v>
      </c>
    </row>
    <row r="160" spans="5:44">
      <c r="N160" s="114"/>
      <c r="Q160" s="99" t="s">
        <v>5001</v>
      </c>
      <c r="R160" s="95">
        <f>S152+S151-R165</f>
        <v>75677868.447282434</v>
      </c>
      <c r="S160" s="96"/>
      <c r="T160" s="96" t="s">
        <v>25</v>
      </c>
      <c r="V160" s="96"/>
      <c r="Y160" s="96"/>
      <c r="AH160" s="99">
        <v>140</v>
      </c>
      <c r="AI160" s="113" t="s">
        <v>4959</v>
      </c>
      <c r="AJ160" s="113">
        <v>1100000</v>
      </c>
      <c r="AK160" s="99">
        <v>0</v>
      </c>
      <c r="AL160" s="20">
        <f t="shared" si="63"/>
        <v>266</v>
      </c>
      <c r="AM160" s="117">
        <f t="shared" si="64"/>
        <v>292600000</v>
      </c>
      <c r="AN160" s="20" t="s">
        <v>4975</v>
      </c>
      <c r="AQ160" t="s">
        <v>25</v>
      </c>
    </row>
    <row r="161" spans="9:43">
      <c r="K161" s="96"/>
      <c r="L161" s="96"/>
      <c r="P161" s="114"/>
      <c r="Q161" s="96"/>
      <c r="R161" s="96"/>
      <c r="S161" s="96"/>
      <c r="T161" s="96"/>
      <c r="V161" s="96"/>
      <c r="Y161" s="96"/>
      <c r="Z161" t="s">
        <v>25</v>
      </c>
      <c r="AH161" s="99">
        <v>141</v>
      </c>
      <c r="AI161" s="113" t="s">
        <v>4959</v>
      </c>
      <c r="AJ161" s="113">
        <v>115000</v>
      </c>
      <c r="AK161" s="99"/>
      <c r="AL161" s="20">
        <f t="shared" si="63"/>
        <v>266</v>
      </c>
      <c r="AM161" s="117">
        <f t="shared" si="64"/>
        <v>30590000</v>
      </c>
      <c r="AN161" s="20"/>
      <c r="AQ161" t="s">
        <v>25</v>
      </c>
    </row>
    <row r="162" spans="9:43">
      <c r="K162" s="96"/>
      <c r="L162" s="96"/>
      <c r="O162" s="96"/>
      <c r="Q162" s="96"/>
      <c r="R162" s="96"/>
      <c r="S162" s="96"/>
      <c r="T162" s="99" t="s">
        <v>180</v>
      </c>
      <c r="U162" s="99" t="s">
        <v>4469</v>
      </c>
      <c r="V162" s="99" t="s">
        <v>4470</v>
      </c>
      <c r="W162" s="99" t="s">
        <v>4480</v>
      </c>
      <c r="X162" s="99" t="s">
        <v>8</v>
      </c>
      <c r="Y162" s="96" t="s">
        <v>25</v>
      </c>
      <c r="AH162" s="99">
        <v>142</v>
      </c>
      <c r="AI162" s="113" t="s">
        <v>4967</v>
      </c>
      <c r="AJ162" s="113">
        <v>-1100000</v>
      </c>
      <c r="AK162" s="99"/>
      <c r="AL162" s="20">
        <f t="shared" si="63"/>
        <v>266</v>
      </c>
      <c r="AM162" s="117">
        <f t="shared" si="64"/>
        <v>-292600000</v>
      </c>
      <c r="AN162" s="20" t="s">
        <v>4976</v>
      </c>
      <c r="AQ162" t="s">
        <v>25</v>
      </c>
    </row>
    <row r="163" spans="9:43">
      <c r="K163" s="96"/>
      <c r="L163" s="96"/>
      <c r="O163" s="96"/>
      <c r="P163" s="114"/>
      <c r="Q163" s="36" t="s">
        <v>4554</v>
      </c>
      <c r="R163" s="95">
        <f>SUM(N40:N47)</f>
        <v>3861092123</v>
      </c>
      <c r="T163" s="113" t="s">
        <v>4446</v>
      </c>
      <c r="U163" s="56">
        <v>1000000</v>
      </c>
      <c r="V163" s="113">
        <v>239.024</v>
      </c>
      <c r="W163" s="113">
        <f t="shared" ref="W163:W264" si="65">U163*V163</f>
        <v>239024000</v>
      </c>
      <c r="X163" s="99"/>
      <c r="Y163" s="122" t="s">
        <v>25</v>
      </c>
      <c r="AH163" s="99">
        <v>143</v>
      </c>
      <c r="AI163" s="113" t="s">
        <v>4967</v>
      </c>
      <c r="AJ163" s="113">
        <v>900000</v>
      </c>
      <c r="AK163" s="99">
        <v>1</v>
      </c>
      <c r="AL163" s="20">
        <f t="shared" si="63"/>
        <v>266</v>
      </c>
      <c r="AM163" s="117">
        <f t="shared" si="64"/>
        <v>239400000</v>
      </c>
      <c r="AN163" s="20" t="s">
        <v>4975</v>
      </c>
    </row>
    <row r="164" spans="9:43">
      <c r="K164" s="96"/>
      <c r="L164" s="96"/>
      <c r="P164" s="114"/>
      <c r="Q164" s="99" t="s">
        <v>4437</v>
      </c>
      <c r="R164" s="95">
        <f>SUM(N21:N23)</f>
        <v>1849603692.2</v>
      </c>
      <c r="T164" s="168" t="s">
        <v>4428</v>
      </c>
      <c r="U164" s="56">
        <v>5904</v>
      </c>
      <c r="V164" s="113">
        <v>237.148</v>
      </c>
      <c r="W164" s="113">
        <f t="shared" si="65"/>
        <v>1400121.7919999999</v>
      </c>
      <c r="X164" s="99" t="s">
        <v>749</v>
      </c>
      <c r="Y164" s="96" t="s">
        <v>25</v>
      </c>
      <c r="AH164" s="99">
        <v>144</v>
      </c>
      <c r="AI164" s="113" t="s">
        <v>4973</v>
      </c>
      <c r="AJ164" s="113">
        <v>2000000</v>
      </c>
      <c r="AK164" s="99">
        <v>0</v>
      </c>
      <c r="AL164" s="20">
        <f t="shared" si="63"/>
        <v>265</v>
      </c>
      <c r="AM164" s="117">
        <f t="shared" si="64"/>
        <v>530000000</v>
      </c>
      <c r="AN164" s="20"/>
    </row>
    <row r="165" spans="9:43">
      <c r="K165" s="96"/>
      <c r="L165" s="96"/>
      <c r="Q165" s="99" t="s">
        <v>4438</v>
      </c>
      <c r="R165" s="95">
        <f>SUM(N26:N27)</f>
        <v>205370053</v>
      </c>
      <c r="T165" s="168" t="s">
        <v>4222</v>
      </c>
      <c r="U165" s="168">
        <v>1000</v>
      </c>
      <c r="V165" s="113">
        <v>247.393</v>
      </c>
      <c r="W165" s="113">
        <f t="shared" si="65"/>
        <v>247393</v>
      </c>
      <c r="X165" s="99" t="s">
        <v>749</v>
      </c>
      <c r="Y165" s="96"/>
      <c r="Z165" t="s">
        <v>25</v>
      </c>
      <c r="AH165" s="99">
        <v>145</v>
      </c>
      <c r="AI165" s="113" t="s">
        <v>4973</v>
      </c>
      <c r="AJ165" s="113">
        <v>360000</v>
      </c>
      <c r="AK165" s="99">
        <v>1</v>
      </c>
      <c r="AL165" s="20">
        <f t="shared" si="63"/>
        <v>265</v>
      </c>
      <c r="AM165" s="117">
        <f t="shared" si="64"/>
        <v>95400000</v>
      </c>
      <c r="AN165" s="20"/>
    </row>
    <row r="166" spans="9:43">
      <c r="I166" s="96"/>
      <c r="J166" s="96"/>
      <c r="K166" s="96"/>
      <c r="L166" s="96"/>
      <c r="M166" t="s">
        <v>25</v>
      </c>
      <c r="Q166" s="99" t="s">
        <v>4439</v>
      </c>
      <c r="R166" s="95">
        <f>N38</f>
        <v>5032458</v>
      </c>
      <c r="T166" s="168" t="s">
        <v>4481</v>
      </c>
      <c r="U166" s="168">
        <v>8071</v>
      </c>
      <c r="V166" s="113">
        <v>247.797</v>
      </c>
      <c r="W166" s="113">
        <f t="shared" si="65"/>
        <v>1999969.5870000001</v>
      </c>
      <c r="X166" s="99" t="s">
        <v>4435</v>
      </c>
      <c r="Y166" t="s">
        <v>25</v>
      </c>
      <c r="Z166" t="s">
        <v>25</v>
      </c>
      <c r="AH166" s="99">
        <v>146</v>
      </c>
      <c r="AI166" s="113" t="s">
        <v>4974</v>
      </c>
      <c r="AJ166" s="113">
        <v>3000000</v>
      </c>
      <c r="AK166" s="99">
        <v>1</v>
      </c>
      <c r="AL166" s="20">
        <f t="shared" si="63"/>
        <v>264</v>
      </c>
      <c r="AM166" s="117">
        <f t="shared" si="64"/>
        <v>792000000</v>
      </c>
      <c r="AN166" s="20"/>
    </row>
    <row r="167" spans="9:43">
      <c r="P167" s="114"/>
      <c r="Q167" s="99" t="s">
        <v>4440</v>
      </c>
      <c r="R167" s="95">
        <f>N20</f>
        <v>5031862</v>
      </c>
      <c r="T167" s="168" t="s">
        <v>4481</v>
      </c>
      <c r="U167" s="168">
        <v>53672</v>
      </c>
      <c r="V167" s="113">
        <v>247.797</v>
      </c>
      <c r="W167" s="113">
        <f t="shared" si="65"/>
        <v>13299760.584000001</v>
      </c>
      <c r="X167" s="99" t="s">
        <v>452</v>
      </c>
      <c r="Y167" t="s">
        <v>25</v>
      </c>
      <c r="AH167" s="99">
        <v>147</v>
      </c>
      <c r="AI167" s="113" t="s">
        <v>4971</v>
      </c>
      <c r="AJ167" s="113">
        <v>-658226</v>
      </c>
      <c r="AK167" s="99">
        <v>1</v>
      </c>
      <c r="AL167" s="20">
        <f t="shared" si="63"/>
        <v>263</v>
      </c>
      <c r="AM167" s="117">
        <f t="shared" si="64"/>
        <v>-173113438</v>
      </c>
      <c r="AN167" s="20"/>
    </row>
    <row r="168" spans="9:43">
      <c r="P168" s="114"/>
      <c r="Q168" s="99" t="s">
        <v>4441</v>
      </c>
      <c r="R168" s="95">
        <f>N25</f>
        <v>5038483</v>
      </c>
      <c r="T168" s="168" t="s">
        <v>4489</v>
      </c>
      <c r="U168" s="168">
        <v>4099</v>
      </c>
      <c r="V168" s="113">
        <v>243.93</v>
      </c>
      <c r="W168" s="113">
        <f t="shared" si="65"/>
        <v>999869.07000000007</v>
      </c>
      <c r="X168" s="99" t="s">
        <v>4435</v>
      </c>
      <c r="Y168" t="s">
        <v>25</v>
      </c>
      <c r="Z168" t="s">
        <v>25</v>
      </c>
      <c r="AH168" s="99">
        <v>148</v>
      </c>
      <c r="AI168" s="113" t="s">
        <v>4977</v>
      </c>
      <c r="AJ168" s="113">
        <v>1000000</v>
      </c>
      <c r="AK168" s="99">
        <v>15</v>
      </c>
      <c r="AL168" s="20">
        <f t="shared" si="63"/>
        <v>262</v>
      </c>
      <c r="AM168" s="117">
        <f t="shared" si="64"/>
        <v>262000000</v>
      </c>
      <c r="AN168" s="20"/>
      <c r="AP168" t="s">
        <v>25</v>
      </c>
    </row>
    <row r="169" spans="9:43">
      <c r="K169" s="96"/>
      <c r="L169" s="96"/>
      <c r="P169" s="114"/>
      <c r="Q169" s="99" t="s">
        <v>5593</v>
      </c>
      <c r="R169" s="95">
        <v>-6843363</v>
      </c>
      <c r="S169" t="s">
        <v>25</v>
      </c>
      <c r="T169" s="168" t="s">
        <v>4489</v>
      </c>
      <c r="U169" s="168">
        <v>9301</v>
      </c>
      <c r="V169" s="113">
        <v>243.93</v>
      </c>
      <c r="W169" s="113">
        <f t="shared" si="65"/>
        <v>2268792.9300000002</v>
      </c>
      <c r="X169" s="99" t="s">
        <v>452</v>
      </c>
      <c r="Y169" t="s">
        <v>25</v>
      </c>
      <c r="AH169" s="99">
        <v>149</v>
      </c>
      <c r="AI169" s="113" t="s">
        <v>5006</v>
      </c>
      <c r="AJ169" s="113">
        <v>1130250</v>
      </c>
      <c r="AK169" s="99">
        <v>5</v>
      </c>
      <c r="AL169" s="20">
        <f t="shared" si="54"/>
        <v>247</v>
      </c>
      <c r="AM169" s="117">
        <f t="shared" si="62"/>
        <v>279171750</v>
      </c>
      <c r="AN169" s="20"/>
    </row>
    <row r="170" spans="9:43">
      <c r="P170" s="114"/>
      <c r="Q170" s="99" t="s">
        <v>5137</v>
      </c>
      <c r="R170" s="95">
        <v>0</v>
      </c>
      <c r="T170" s="168" t="s">
        <v>4495</v>
      </c>
      <c r="U170" s="168">
        <v>8334</v>
      </c>
      <c r="V170" s="113">
        <v>239.97</v>
      </c>
      <c r="W170" s="113">
        <f t="shared" si="65"/>
        <v>1999909.98</v>
      </c>
      <c r="X170" s="99" t="s">
        <v>4435</v>
      </c>
      <c r="Y170" t="s">
        <v>25</v>
      </c>
      <c r="AE170" s="96" t="s">
        <v>25</v>
      </c>
      <c r="AH170" s="99">
        <v>150</v>
      </c>
      <c r="AI170" s="113" t="s">
        <v>5014</v>
      </c>
      <c r="AJ170" s="113">
        <v>206000</v>
      </c>
      <c r="AK170" s="99">
        <v>2</v>
      </c>
      <c r="AL170" s="20">
        <f t="shared" si="54"/>
        <v>242</v>
      </c>
      <c r="AM170" s="117">
        <f t="shared" si="62"/>
        <v>49852000</v>
      </c>
      <c r="AN170" s="20"/>
    </row>
    <row r="171" spans="9:43">
      <c r="P171" s="114"/>
      <c r="Q171" s="99" t="s">
        <v>5594</v>
      </c>
      <c r="R171" s="95">
        <v>30461942</v>
      </c>
      <c r="T171" s="168" t="s">
        <v>4221</v>
      </c>
      <c r="U171" s="168">
        <v>29041</v>
      </c>
      <c r="V171" s="113">
        <v>233.45</v>
      </c>
      <c r="W171" s="113">
        <f t="shared" si="65"/>
        <v>6779621.4499999993</v>
      </c>
      <c r="X171" s="99" t="s">
        <v>749</v>
      </c>
      <c r="Z171" t="s">
        <v>25</v>
      </c>
      <c r="AH171" s="99">
        <v>151</v>
      </c>
      <c r="AI171" s="113" t="s">
        <v>5021</v>
      </c>
      <c r="AJ171" s="113">
        <v>50000</v>
      </c>
      <c r="AK171" s="99">
        <v>2</v>
      </c>
      <c r="AL171" s="20">
        <f t="shared" si="54"/>
        <v>240</v>
      </c>
      <c r="AM171" s="117">
        <f t="shared" si="62"/>
        <v>12000000</v>
      </c>
      <c r="AN171" s="20"/>
    </row>
    <row r="172" spans="9:43">
      <c r="Q172" s="99" t="s">
        <v>5138</v>
      </c>
      <c r="R172" s="95">
        <v>0</v>
      </c>
      <c r="S172" s="115"/>
      <c r="T172" s="168" t="s">
        <v>991</v>
      </c>
      <c r="U172" s="168">
        <v>12337</v>
      </c>
      <c r="V172" s="113">
        <v>243.16300000000001</v>
      </c>
      <c r="W172" s="113">
        <f t="shared" si="65"/>
        <v>2999901.9310000003</v>
      </c>
      <c r="X172" s="99" t="s">
        <v>4435</v>
      </c>
      <c r="Y172" t="s">
        <v>25</v>
      </c>
      <c r="AH172" s="99">
        <v>152</v>
      </c>
      <c r="AI172" s="113" t="s">
        <v>5025</v>
      </c>
      <c r="AJ172" s="113">
        <v>105000</v>
      </c>
      <c r="AK172" s="99">
        <v>4</v>
      </c>
      <c r="AL172" s="20">
        <f t="shared" si="54"/>
        <v>238</v>
      </c>
      <c r="AM172" s="117">
        <f t="shared" si="62"/>
        <v>24990000</v>
      </c>
      <c r="AN172" s="20"/>
    </row>
    <row r="173" spans="9:43">
      <c r="P173" s="114"/>
      <c r="Q173" s="99"/>
      <c r="R173" s="95"/>
      <c r="S173" s="122"/>
      <c r="T173" s="168" t="s">
        <v>4575</v>
      </c>
      <c r="U173" s="168">
        <v>-16118</v>
      </c>
      <c r="V173" s="113">
        <v>248.17</v>
      </c>
      <c r="W173" s="113">
        <f t="shared" si="65"/>
        <v>-4000004.0599999996</v>
      </c>
      <c r="X173" s="99" t="s">
        <v>749</v>
      </c>
      <c r="Y173" t="s">
        <v>25</v>
      </c>
      <c r="AH173" s="99">
        <v>153</v>
      </c>
      <c r="AI173" s="113" t="s">
        <v>5029</v>
      </c>
      <c r="AJ173" s="113">
        <v>5000000</v>
      </c>
      <c r="AK173" s="99">
        <v>1</v>
      </c>
      <c r="AL173" s="20">
        <f t="shared" si="54"/>
        <v>234</v>
      </c>
      <c r="AM173" s="117">
        <f t="shared" si="62"/>
        <v>1170000000</v>
      </c>
      <c r="AN173" s="20"/>
    </row>
    <row r="174" spans="9:43">
      <c r="P174" s="114"/>
      <c r="Q174" s="99"/>
      <c r="R174" s="95"/>
      <c r="S174" s="115"/>
      <c r="T174" s="168" t="s">
        <v>4602</v>
      </c>
      <c r="U174" s="168">
        <v>101681</v>
      </c>
      <c r="V174" s="113">
        <v>246.5711</v>
      </c>
      <c r="W174" s="113">
        <f t="shared" si="65"/>
        <v>25071596.019099999</v>
      </c>
      <c r="X174" s="99" t="s">
        <v>452</v>
      </c>
      <c r="Y174" t="s">
        <v>25</v>
      </c>
      <c r="Z174" t="s">
        <v>25</v>
      </c>
      <c r="AH174" s="99">
        <v>154</v>
      </c>
      <c r="AI174" s="113" t="s">
        <v>5030</v>
      </c>
      <c r="AJ174" s="113">
        <v>2500000</v>
      </c>
      <c r="AK174" s="99">
        <v>2</v>
      </c>
      <c r="AL174" s="20">
        <f t="shared" si="54"/>
        <v>233</v>
      </c>
      <c r="AM174" s="117">
        <f t="shared" si="62"/>
        <v>582500000</v>
      </c>
      <c r="AN174" s="20"/>
    </row>
    <row r="175" spans="9:43">
      <c r="O175" s="96"/>
      <c r="P175" s="114"/>
      <c r="Q175" s="99"/>
      <c r="R175" s="99"/>
      <c r="S175" s="115"/>
      <c r="T175" s="168" t="s">
        <v>4606</v>
      </c>
      <c r="U175" s="168">
        <v>66606</v>
      </c>
      <c r="V175" s="113">
        <v>251.131</v>
      </c>
      <c r="W175" s="113">
        <f t="shared" si="65"/>
        <v>16726831.386</v>
      </c>
      <c r="X175" s="99" t="s">
        <v>749</v>
      </c>
      <c r="Z175" t="s">
        <v>25</v>
      </c>
      <c r="AH175" s="265">
        <v>155</v>
      </c>
      <c r="AI175" s="261" t="s">
        <v>5036</v>
      </c>
      <c r="AJ175" s="261">
        <v>-50000000</v>
      </c>
      <c r="AK175" s="265">
        <v>7</v>
      </c>
      <c r="AL175" s="265">
        <f t="shared" si="54"/>
        <v>231</v>
      </c>
      <c r="AM175" s="261">
        <f t="shared" si="62"/>
        <v>-11550000000</v>
      </c>
      <c r="AN175" s="265" t="s">
        <v>5044</v>
      </c>
    </row>
    <row r="176" spans="9:43">
      <c r="Q176" s="99" t="s">
        <v>4445</v>
      </c>
      <c r="R176" s="95">
        <f>SUM(R163:R172)</f>
        <v>5954787250.1999998</v>
      </c>
      <c r="T176" s="168" t="s">
        <v>4611</v>
      </c>
      <c r="U176" s="168">
        <v>172025</v>
      </c>
      <c r="V176" s="113">
        <v>245.52809999999999</v>
      </c>
      <c r="W176" s="113">
        <f t="shared" si="65"/>
        <v>42236971.402499996</v>
      </c>
      <c r="X176" s="99" t="s">
        <v>452</v>
      </c>
      <c r="Z176" t="s">
        <v>25</v>
      </c>
      <c r="AH176" s="99">
        <v>156</v>
      </c>
      <c r="AI176" s="113" t="s">
        <v>5042</v>
      </c>
      <c r="AJ176" s="113">
        <v>10000000</v>
      </c>
      <c r="AK176" s="99">
        <v>12</v>
      </c>
      <c r="AL176" s="20">
        <f t="shared" si="54"/>
        <v>224</v>
      </c>
      <c r="AM176" s="117">
        <f t="shared" si="62"/>
        <v>2240000000</v>
      </c>
      <c r="AN176" s="20" t="s">
        <v>4731</v>
      </c>
    </row>
    <row r="177" spans="16:43">
      <c r="Q177" s="96"/>
      <c r="T177" s="168" t="s">
        <v>4611</v>
      </c>
      <c r="U177" s="168">
        <v>189227</v>
      </c>
      <c r="V177" s="113">
        <v>245.52809999999999</v>
      </c>
      <c r="W177" s="113">
        <f t="shared" si="65"/>
        <v>46460545.778700002</v>
      </c>
      <c r="X177" s="99" t="s">
        <v>749</v>
      </c>
      <c r="AH177" s="99">
        <v>157</v>
      </c>
      <c r="AI177" s="113" t="s">
        <v>5049</v>
      </c>
      <c r="AJ177" s="113">
        <v>-16266000</v>
      </c>
      <c r="AK177" s="99">
        <v>1</v>
      </c>
      <c r="AL177" s="20">
        <f t="shared" si="54"/>
        <v>212</v>
      </c>
      <c r="AM177" s="117">
        <f t="shared" si="62"/>
        <v>-3448392000</v>
      </c>
      <c r="AN177" s="20" t="s">
        <v>5057</v>
      </c>
      <c r="AQ177" t="s">
        <v>25</v>
      </c>
    </row>
    <row r="178" spans="16:43">
      <c r="P178" s="114"/>
      <c r="T178" s="168" t="s">
        <v>4612</v>
      </c>
      <c r="U178" s="168">
        <v>79720</v>
      </c>
      <c r="V178" s="113">
        <v>246.6568</v>
      </c>
      <c r="W178" s="113">
        <f t="shared" si="65"/>
        <v>19663480.096000001</v>
      </c>
      <c r="X178" s="99" t="s">
        <v>452</v>
      </c>
      <c r="Y178" t="s">
        <v>25</v>
      </c>
      <c r="AH178" s="99">
        <v>158</v>
      </c>
      <c r="AI178" s="113" t="s">
        <v>5058</v>
      </c>
      <c r="AJ178" s="113">
        <v>1000000</v>
      </c>
      <c r="AK178" s="99">
        <v>6</v>
      </c>
      <c r="AL178" s="20">
        <f t="shared" ref="AL178:AL181" si="66">AL179+AK178</f>
        <v>211</v>
      </c>
      <c r="AM178" s="117">
        <f t="shared" ref="AM178:AM181" si="67">AJ178*AL178</f>
        <v>211000000</v>
      </c>
      <c r="AN178" s="20"/>
    </row>
    <row r="179" spans="16:43">
      <c r="P179" s="114"/>
      <c r="Q179" s="213" t="s">
        <v>8</v>
      </c>
      <c r="R179" s="213" t="s">
        <v>4435</v>
      </c>
      <c r="S179" s="213"/>
      <c r="T179" s="168" t="s">
        <v>4612</v>
      </c>
      <c r="U179" s="168">
        <v>79720</v>
      </c>
      <c r="V179" s="113">
        <v>246.6568</v>
      </c>
      <c r="W179" s="113">
        <f t="shared" si="65"/>
        <v>19663480.096000001</v>
      </c>
      <c r="X179" s="99" t="s">
        <v>749</v>
      </c>
      <c r="Y179" t="s">
        <v>25</v>
      </c>
      <c r="AH179" s="99">
        <v>159</v>
      </c>
      <c r="AI179" s="113" t="s">
        <v>5066</v>
      </c>
      <c r="AJ179" s="113">
        <v>40000</v>
      </c>
      <c r="AK179" s="99">
        <v>5</v>
      </c>
      <c r="AL179" s="20">
        <f t="shared" si="66"/>
        <v>205</v>
      </c>
      <c r="AM179" s="117">
        <f t="shared" si="67"/>
        <v>8200000</v>
      </c>
      <c r="AN179" s="20"/>
    </row>
    <row r="180" spans="16:43">
      <c r="Q180" s="213"/>
      <c r="R180" s="73" t="s">
        <v>180</v>
      </c>
      <c r="S180" s="213" t="s">
        <v>267</v>
      </c>
      <c r="T180" s="168" t="s">
        <v>4635</v>
      </c>
      <c r="U180" s="168">
        <v>17769</v>
      </c>
      <c r="V180" s="113">
        <v>246.17877999999999</v>
      </c>
      <c r="W180" s="113">
        <f t="shared" si="65"/>
        <v>4374350.7418200001</v>
      </c>
      <c r="X180" s="99" t="s">
        <v>749</v>
      </c>
      <c r="AB180" t="s">
        <v>25</v>
      </c>
      <c r="AH180" s="99">
        <v>160</v>
      </c>
      <c r="AI180" s="113" t="s">
        <v>5078</v>
      </c>
      <c r="AJ180" s="113">
        <v>120000</v>
      </c>
      <c r="AK180" s="99">
        <v>6</v>
      </c>
      <c r="AL180" s="20">
        <f t="shared" si="66"/>
        <v>200</v>
      </c>
      <c r="AM180" s="117">
        <f t="shared" si="67"/>
        <v>24000000</v>
      </c>
      <c r="AN180" s="20"/>
    </row>
    <row r="181" spans="16:43">
      <c r="P181" s="114"/>
      <c r="Q181" s="213"/>
      <c r="R181" s="213" t="s">
        <v>4428</v>
      </c>
      <c r="S181" s="113">
        <v>3000000</v>
      </c>
      <c r="T181" s="168" t="s">
        <v>4635</v>
      </c>
      <c r="U181" s="168">
        <v>17769</v>
      </c>
      <c r="V181" s="113">
        <v>246.17877999999999</v>
      </c>
      <c r="W181" s="113">
        <f t="shared" si="65"/>
        <v>4374350.7418200001</v>
      </c>
      <c r="X181" s="99" t="s">
        <v>452</v>
      </c>
      <c r="Y181" t="s">
        <v>25</v>
      </c>
      <c r="Z181" t="s">
        <v>25</v>
      </c>
      <c r="AH181" s="99">
        <v>161</v>
      </c>
      <c r="AI181" s="113" t="s">
        <v>5071</v>
      </c>
      <c r="AJ181" s="113">
        <v>249000</v>
      </c>
      <c r="AK181" s="99">
        <v>9</v>
      </c>
      <c r="AL181" s="20">
        <f t="shared" si="66"/>
        <v>194</v>
      </c>
      <c r="AM181" s="117">
        <f t="shared" si="67"/>
        <v>48306000</v>
      </c>
      <c r="AN181" s="20"/>
    </row>
    <row r="182" spans="16:43">
      <c r="Q182" s="213"/>
      <c r="R182" s="213" t="s">
        <v>4481</v>
      </c>
      <c r="S182" s="113">
        <v>2000000</v>
      </c>
      <c r="T182" s="168" t="s">
        <v>4637</v>
      </c>
      <c r="U182" s="168">
        <v>12438</v>
      </c>
      <c r="V182" s="113">
        <v>241.20465999999999</v>
      </c>
      <c r="W182" s="113">
        <f t="shared" si="65"/>
        <v>3000103.5610799999</v>
      </c>
      <c r="X182" s="99" t="s">
        <v>4435</v>
      </c>
      <c r="Y182" t="s">
        <v>25</v>
      </c>
      <c r="AH182" s="99">
        <v>162</v>
      </c>
      <c r="AI182" s="113" t="s">
        <v>5100</v>
      </c>
      <c r="AJ182" s="113">
        <v>65000</v>
      </c>
      <c r="AK182" s="99">
        <v>7</v>
      </c>
      <c r="AL182" s="20">
        <f t="shared" ref="AL182" si="68">AL183+AK182</f>
        <v>185</v>
      </c>
      <c r="AM182" s="117">
        <f t="shared" ref="AM182" si="69">AJ182*AL182</f>
        <v>12025000</v>
      </c>
      <c r="AN182" s="20"/>
    </row>
    <row r="183" spans="16:43">
      <c r="P183" s="114"/>
      <c r="Q183" s="213"/>
      <c r="R183" s="213" t="s">
        <v>4489</v>
      </c>
      <c r="S183" s="113">
        <v>1000000</v>
      </c>
      <c r="T183" s="168" t="s">
        <v>4646</v>
      </c>
      <c r="U183" s="168">
        <v>27363</v>
      </c>
      <c r="V183" s="113">
        <v>239.3886</v>
      </c>
      <c r="W183" s="113">
        <f t="shared" si="65"/>
        <v>6550390.2617999995</v>
      </c>
      <c r="X183" s="99" t="s">
        <v>749</v>
      </c>
      <c r="Z183" t="s">
        <v>25</v>
      </c>
      <c r="AH183" s="99">
        <v>163</v>
      </c>
      <c r="AI183" s="113" t="s">
        <v>5110</v>
      </c>
      <c r="AJ183" s="113">
        <v>-312598</v>
      </c>
      <c r="AK183" s="99">
        <v>0</v>
      </c>
      <c r="AL183" s="20">
        <f t="shared" ref="AL183:AL190" si="70">AL184+AK183</f>
        <v>178</v>
      </c>
      <c r="AM183" s="117">
        <f t="shared" ref="AM183:AM190" si="71">AJ183*AL183</f>
        <v>-55642444</v>
      </c>
      <c r="AN183" s="20"/>
      <c r="AO183" t="s">
        <v>25</v>
      </c>
      <c r="AQ183" t="s">
        <v>25</v>
      </c>
    </row>
    <row r="184" spans="16:43">
      <c r="P184" s="114"/>
      <c r="Q184" s="213"/>
      <c r="R184" s="213" t="s">
        <v>4495</v>
      </c>
      <c r="S184" s="113">
        <v>2000000</v>
      </c>
      <c r="T184" s="168" t="s">
        <v>4646</v>
      </c>
      <c r="U184" s="168">
        <v>27363</v>
      </c>
      <c r="V184" s="113">
        <v>239.3886</v>
      </c>
      <c r="W184" s="113">
        <f t="shared" si="65"/>
        <v>6550390.2617999995</v>
      </c>
      <c r="X184" s="99" t="s">
        <v>452</v>
      </c>
      <c r="AH184" s="99">
        <v>164</v>
      </c>
      <c r="AI184" s="113" t="s">
        <v>5110</v>
      </c>
      <c r="AJ184" s="113">
        <v>50000</v>
      </c>
      <c r="AK184" s="99">
        <v>6</v>
      </c>
      <c r="AL184" s="20">
        <f t="shared" si="70"/>
        <v>178</v>
      </c>
      <c r="AM184" s="117">
        <f t="shared" si="71"/>
        <v>8900000</v>
      </c>
      <c r="AN184" s="20"/>
    </row>
    <row r="185" spans="16:43">
      <c r="Q185" s="213"/>
      <c r="R185" s="213" t="s">
        <v>991</v>
      </c>
      <c r="S185" s="113">
        <v>3000000</v>
      </c>
      <c r="T185" s="210" t="s">
        <v>4648</v>
      </c>
      <c r="U185" s="210">
        <v>27437</v>
      </c>
      <c r="V185" s="113">
        <v>242.4015</v>
      </c>
      <c r="W185" s="113">
        <f t="shared" si="65"/>
        <v>6650769.9555000002</v>
      </c>
      <c r="X185" s="99" t="s">
        <v>749</v>
      </c>
      <c r="Y185" t="s">
        <v>25</v>
      </c>
      <c r="Z185" t="s">
        <v>25</v>
      </c>
      <c r="AH185" s="99">
        <v>165</v>
      </c>
      <c r="AI185" s="113" t="s">
        <v>5120</v>
      </c>
      <c r="AJ185" s="113">
        <v>-200000</v>
      </c>
      <c r="AK185" s="99">
        <v>0</v>
      </c>
      <c r="AL185" s="20">
        <f t="shared" si="70"/>
        <v>172</v>
      </c>
      <c r="AM185" s="117">
        <f t="shared" si="71"/>
        <v>-34400000</v>
      </c>
      <c r="AN185" s="20" t="s">
        <v>5121</v>
      </c>
    </row>
    <row r="186" spans="16:43">
      <c r="Q186" s="213"/>
      <c r="R186" s="213" t="s">
        <v>4637</v>
      </c>
      <c r="S186" s="113">
        <v>3000000</v>
      </c>
      <c r="T186" s="210" t="s">
        <v>4648</v>
      </c>
      <c r="U186" s="210">
        <v>29104</v>
      </c>
      <c r="V186" s="113">
        <v>242.4015</v>
      </c>
      <c r="W186" s="113">
        <f t="shared" si="65"/>
        <v>7054853.2560000001</v>
      </c>
      <c r="X186" s="99" t="s">
        <v>452</v>
      </c>
      <c r="AH186" s="99">
        <v>166</v>
      </c>
      <c r="AI186" s="113" t="s">
        <v>5120</v>
      </c>
      <c r="AJ186" s="113">
        <v>200000</v>
      </c>
      <c r="AK186" s="99">
        <v>3</v>
      </c>
      <c r="AL186" s="20">
        <f t="shared" si="70"/>
        <v>172</v>
      </c>
      <c r="AM186" s="117">
        <f t="shared" si="71"/>
        <v>34400000</v>
      </c>
      <c r="AN186" s="20"/>
      <c r="AQ186" t="s">
        <v>25</v>
      </c>
    </row>
    <row r="187" spans="16:43">
      <c r="Q187" s="213" t="s">
        <v>4810</v>
      </c>
      <c r="R187" s="213" t="s">
        <v>4805</v>
      </c>
      <c r="S187" s="113">
        <v>-800000</v>
      </c>
      <c r="T187" s="213" t="s">
        <v>4665</v>
      </c>
      <c r="U187" s="213">
        <v>8991</v>
      </c>
      <c r="V187" s="113">
        <v>238.64867000000001</v>
      </c>
      <c r="W187" s="113">
        <f t="shared" si="65"/>
        <v>2145690.19197</v>
      </c>
      <c r="X187" s="99" t="s">
        <v>749</v>
      </c>
      <c r="Y187" t="s">
        <v>25</v>
      </c>
      <c r="Z187" t="s">
        <v>25</v>
      </c>
      <c r="AH187" s="99">
        <v>167</v>
      </c>
      <c r="AI187" s="113" t="s">
        <v>5127</v>
      </c>
      <c r="AJ187" s="113">
        <v>200000</v>
      </c>
      <c r="AK187" s="99">
        <v>3</v>
      </c>
      <c r="AL187" s="20">
        <f t="shared" si="70"/>
        <v>169</v>
      </c>
      <c r="AM187" s="117">
        <f t="shared" si="71"/>
        <v>33800000</v>
      </c>
      <c r="AN187" s="20"/>
    </row>
    <row r="188" spans="16:43">
      <c r="Q188" s="213" t="s">
        <v>4811</v>
      </c>
      <c r="R188" s="213" t="s">
        <v>4805</v>
      </c>
      <c r="S188" s="113">
        <v>-900000</v>
      </c>
      <c r="T188" s="213" t="s">
        <v>4665</v>
      </c>
      <c r="U188" s="213">
        <v>8991</v>
      </c>
      <c r="V188" s="113">
        <v>238.64867000000001</v>
      </c>
      <c r="W188" s="113">
        <f t="shared" si="65"/>
        <v>2145690.19197</v>
      </c>
      <c r="X188" s="99" t="s">
        <v>452</v>
      </c>
      <c r="AH188" s="99">
        <v>168</v>
      </c>
      <c r="AI188" s="113" t="s">
        <v>5130</v>
      </c>
      <c r="AJ188" s="113">
        <v>30000</v>
      </c>
      <c r="AK188" s="99">
        <v>7</v>
      </c>
      <c r="AL188" s="20">
        <f t="shared" si="70"/>
        <v>166</v>
      </c>
      <c r="AM188" s="117">
        <f t="shared" si="71"/>
        <v>4980000</v>
      </c>
      <c r="AN188" s="20"/>
    </row>
    <row r="189" spans="16:43">
      <c r="Q189" s="213" t="s">
        <v>4811</v>
      </c>
      <c r="R189" s="213" t="s">
        <v>978</v>
      </c>
      <c r="S189" s="113">
        <v>-1100000</v>
      </c>
      <c r="T189" s="213" t="s">
        <v>4676</v>
      </c>
      <c r="U189" s="213">
        <v>18170</v>
      </c>
      <c r="V189" s="113">
        <v>240.48475999999999</v>
      </c>
      <c r="W189" s="113">
        <f t="shared" si="65"/>
        <v>4369608.0892000003</v>
      </c>
      <c r="X189" s="99" t="s">
        <v>749</v>
      </c>
      <c r="Y189" t="s">
        <v>25</v>
      </c>
      <c r="AH189" s="99">
        <v>169</v>
      </c>
      <c r="AI189" s="113" t="s">
        <v>5088</v>
      </c>
      <c r="AJ189" s="113">
        <v>-10000000</v>
      </c>
      <c r="AK189" s="99">
        <v>0</v>
      </c>
      <c r="AL189" s="20">
        <f t="shared" si="70"/>
        <v>159</v>
      </c>
      <c r="AM189" s="117">
        <f t="shared" si="71"/>
        <v>-1590000000</v>
      </c>
      <c r="AN189" s="20" t="s">
        <v>5044</v>
      </c>
    </row>
    <row r="190" spans="16:43">
      <c r="Q190" s="190" t="s">
        <v>1083</v>
      </c>
      <c r="R190" s="190" t="s">
        <v>4834</v>
      </c>
      <c r="S190" s="196">
        <v>30000000</v>
      </c>
      <c r="T190" s="213" t="s">
        <v>4676</v>
      </c>
      <c r="U190" s="213">
        <v>18170</v>
      </c>
      <c r="V190" s="113">
        <v>240.48475999999999</v>
      </c>
      <c r="W190" s="113">
        <f t="shared" si="65"/>
        <v>4369608.0892000003</v>
      </c>
      <c r="X190" s="99" t="s">
        <v>452</v>
      </c>
      <c r="Y190" t="s">
        <v>25</v>
      </c>
      <c r="AH190" s="99">
        <v>170</v>
      </c>
      <c r="AI190" s="113" t="s">
        <v>5088</v>
      </c>
      <c r="AJ190" s="113">
        <v>6000000</v>
      </c>
      <c r="AK190" s="99">
        <v>8</v>
      </c>
      <c r="AL190" s="20">
        <f t="shared" si="70"/>
        <v>159</v>
      </c>
      <c r="AM190" s="117">
        <f t="shared" si="71"/>
        <v>954000000</v>
      </c>
      <c r="AN190" s="20"/>
      <c r="AP190" t="s">
        <v>25</v>
      </c>
    </row>
    <row r="191" spans="16:43">
      <c r="Q191" s="19" t="s">
        <v>4918</v>
      </c>
      <c r="R191" s="19" t="s">
        <v>4916</v>
      </c>
      <c r="S191" s="117">
        <v>2000000</v>
      </c>
      <c r="T191" s="213" t="s">
        <v>4678</v>
      </c>
      <c r="U191" s="213">
        <v>36797</v>
      </c>
      <c r="V191" s="113">
        <v>239.0822</v>
      </c>
      <c r="W191" s="113">
        <f t="shared" si="65"/>
        <v>8797507.7134000007</v>
      </c>
      <c r="X191" s="99" t="s">
        <v>749</v>
      </c>
      <c r="Y191" t="s">
        <v>25</v>
      </c>
      <c r="AH191" s="99">
        <v>171</v>
      </c>
      <c r="AI191" s="113" t="s">
        <v>5157</v>
      </c>
      <c r="AJ191" s="113">
        <v>150000</v>
      </c>
      <c r="AK191" s="99">
        <v>7</v>
      </c>
      <c r="AL191" s="20">
        <f t="shared" ref="AL191:AL233" si="72">AL192+AK191</f>
        <v>151</v>
      </c>
      <c r="AM191" s="117">
        <f t="shared" ref="AM191:AM233" si="73">AJ191*AL191</f>
        <v>22650000</v>
      </c>
      <c r="AN191" s="20"/>
    </row>
    <row r="192" spans="16:43">
      <c r="Q192" s="189" t="s">
        <v>4943</v>
      </c>
      <c r="R192" s="189" t="s">
        <v>4942</v>
      </c>
      <c r="S192" s="188">
        <v>480105</v>
      </c>
      <c r="T192" s="213" t="s">
        <v>4678</v>
      </c>
      <c r="U192" s="213">
        <v>36797</v>
      </c>
      <c r="V192" s="113">
        <v>239.0822</v>
      </c>
      <c r="W192" s="113">
        <f t="shared" si="65"/>
        <v>8797507.7134000007</v>
      </c>
      <c r="X192" s="99" t="s">
        <v>452</v>
      </c>
      <c r="AH192" s="99">
        <v>172</v>
      </c>
      <c r="AI192" s="113" t="s">
        <v>5193</v>
      </c>
      <c r="AJ192" s="113">
        <v>400000</v>
      </c>
      <c r="AK192" s="99">
        <v>1</v>
      </c>
      <c r="AL192" s="20">
        <f t="shared" si="72"/>
        <v>144</v>
      </c>
      <c r="AM192" s="117">
        <f t="shared" si="73"/>
        <v>57600000</v>
      </c>
      <c r="AN192" s="20"/>
    </row>
    <row r="193" spans="15:45">
      <c r="P193" s="114"/>
      <c r="Q193" s="189"/>
      <c r="R193" s="189" t="s">
        <v>4988</v>
      </c>
      <c r="S193" s="188">
        <v>30500000</v>
      </c>
      <c r="T193" s="213" t="s">
        <v>4687</v>
      </c>
      <c r="U193" s="213">
        <v>28066</v>
      </c>
      <c r="V193" s="113">
        <v>237.56970000000001</v>
      </c>
      <c r="W193" s="113">
        <f t="shared" si="65"/>
        <v>6667631.2002000008</v>
      </c>
      <c r="X193" s="99" t="s">
        <v>749</v>
      </c>
      <c r="AH193" s="99">
        <v>173</v>
      </c>
      <c r="AI193" s="113" t="s">
        <v>5197</v>
      </c>
      <c r="AJ193" s="113">
        <v>-100000</v>
      </c>
      <c r="AK193" s="99">
        <v>1</v>
      </c>
      <c r="AL193" s="20">
        <f t="shared" si="72"/>
        <v>143</v>
      </c>
      <c r="AM193" s="117">
        <f t="shared" si="73"/>
        <v>-14300000</v>
      </c>
      <c r="AN193" s="20"/>
    </row>
    <row r="194" spans="15:45">
      <c r="P194" s="114"/>
      <c r="Q194" s="19" t="s">
        <v>5019</v>
      </c>
      <c r="R194" s="19" t="s">
        <v>5014</v>
      </c>
      <c r="S194" s="117">
        <v>-400000</v>
      </c>
      <c r="T194" s="213" t="s">
        <v>4687</v>
      </c>
      <c r="U194" s="213">
        <v>28066</v>
      </c>
      <c r="V194" s="113">
        <v>237.56970000000001</v>
      </c>
      <c r="W194" s="113">
        <f t="shared" si="65"/>
        <v>6667631.2002000008</v>
      </c>
      <c r="X194" s="99" t="s">
        <v>452</v>
      </c>
      <c r="Y194" t="s">
        <v>25</v>
      </c>
      <c r="AH194" s="99">
        <v>174</v>
      </c>
      <c r="AI194" s="113" t="s">
        <v>5201</v>
      </c>
      <c r="AJ194" s="113">
        <v>10000000</v>
      </c>
      <c r="AK194" s="99">
        <v>1</v>
      </c>
      <c r="AL194" s="20">
        <f t="shared" si="72"/>
        <v>142</v>
      </c>
      <c r="AM194" s="117">
        <f t="shared" si="73"/>
        <v>1420000000</v>
      </c>
      <c r="AN194" s="20" t="s">
        <v>4731</v>
      </c>
      <c r="AS194" t="s">
        <v>25</v>
      </c>
    </row>
    <row r="195" spans="15:45">
      <c r="P195" s="114"/>
      <c r="Q195" s="189" t="s">
        <v>5133</v>
      </c>
      <c r="R195" s="189" t="s">
        <v>5049</v>
      </c>
      <c r="S195" s="188">
        <v>-349550</v>
      </c>
      <c r="T195" s="213" t="s">
        <v>3680</v>
      </c>
      <c r="U195" s="213">
        <v>37457</v>
      </c>
      <c r="V195" s="113">
        <v>239.77</v>
      </c>
      <c r="W195" s="113">
        <f t="shared" si="65"/>
        <v>8981064.8900000006</v>
      </c>
      <c r="X195" s="99" t="s">
        <v>749</v>
      </c>
      <c r="AH195" s="99">
        <v>175</v>
      </c>
      <c r="AI195" s="113" t="s">
        <v>5206</v>
      </c>
      <c r="AJ195" s="113">
        <v>-400000</v>
      </c>
      <c r="AK195" s="99">
        <v>6</v>
      </c>
      <c r="AL195" s="20">
        <f t="shared" ref="AL195:AL203" si="74">AL196+AK195</f>
        <v>141</v>
      </c>
      <c r="AM195" s="117">
        <f t="shared" ref="AM195:AM203" si="75">AJ195*AL195</f>
        <v>-56400000</v>
      </c>
      <c r="AN195" s="20"/>
    </row>
    <row r="196" spans="15:45">
      <c r="O196" t="s">
        <v>25</v>
      </c>
      <c r="P196" s="114"/>
      <c r="Q196" s="189" t="s">
        <v>5163</v>
      </c>
      <c r="R196" s="189" t="s">
        <v>5160</v>
      </c>
      <c r="S196" s="188">
        <v>11500000</v>
      </c>
      <c r="T196" s="213" t="s">
        <v>3680</v>
      </c>
      <c r="U196" s="213">
        <v>37457</v>
      </c>
      <c r="V196" s="113">
        <v>239.77</v>
      </c>
      <c r="W196" s="113">
        <f t="shared" si="65"/>
        <v>8981064.8900000006</v>
      </c>
      <c r="X196" s="99" t="s">
        <v>452</v>
      </c>
      <c r="Z196" t="s">
        <v>25</v>
      </c>
      <c r="AA196" t="s">
        <v>25</v>
      </c>
      <c r="AH196" s="99">
        <v>176</v>
      </c>
      <c r="AI196" s="113" t="s">
        <v>5213</v>
      </c>
      <c r="AJ196" s="113">
        <v>1300000</v>
      </c>
      <c r="AK196" s="99">
        <v>0</v>
      </c>
      <c r="AL196" s="20">
        <f t="shared" si="74"/>
        <v>135</v>
      </c>
      <c r="AM196" s="117">
        <f t="shared" si="75"/>
        <v>175500000</v>
      </c>
      <c r="AN196" s="20"/>
      <c r="AR196" t="s">
        <v>25</v>
      </c>
    </row>
    <row r="197" spans="15:45">
      <c r="P197" s="114"/>
      <c r="Q197" s="189" t="s">
        <v>5192</v>
      </c>
      <c r="R197" s="189" t="s">
        <v>5191</v>
      </c>
      <c r="S197" s="188">
        <v>6000000</v>
      </c>
      <c r="T197" s="213" t="s">
        <v>4699</v>
      </c>
      <c r="U197" s="213">
        <v>38412</v>
      </c>
      <c r="V197" s="113">
        <v>239.03</v>
      </c>
      <c r="W197" s="113">
        <f t="shared" si="65"/>
        <v>9181620.3599999994</v>
      </c>
      <c r="X197" s="99" t="s">
        <v>749</v>
      </c>
      <c r="Y197" t="s">
        <v>25</v>
      </c>
      <c r="AH197" s="99">
        <v>177</v>
      </c>
      <c r="AI197" s="113" t="s">
        <v>5213</v>
      </c>
      <c r="AJ197" s="113">
        <v>230000</v>
      </c>
      <c r="AK197" s="99">
        <v>1</v>
      </c>
      <c r="AL197" s="20">
        <f t="shared" si="74"/>
        <v>135</v>
      </c>
      <c r="AM197" s="117">
        <f t="shared" si="75"/>
        <v>31050000</v>
      </c>
      <c r="AN197" s="20"/>
    </row>
    <row r="198" spans="15:45">
      <c r="P198" s="114"/>
      <c r="Q198" s="189" t="s">
        <v>5194</v>
      </c>
      <c r="R198" s="189" t="s">
        <v>5193</v>
      </c>
      <c r="S198" s="188">
        <v>1500000</v>
      </c>
      <c r="T198" s="213" t="s">
        <v>4699</v>
      </c>
      <c r="U198" s="213">
        <v>38412</v>
      </c>
      <c r="V198" s="113">
        <v>239.03</v>
      </c>
      <c r="W198" s="113">
        <f t="shared" si="65"/>
        <v>9181620.3599999994</v>
      </c>
      <c r="X198" s="99" t="s">
        <v>452</v>
      </c>
      <c r="Y198" t="s">
        <v>25</v>
      </c>
      <c r="AH198" s="99">
        <v>178</v>
      </c>
      <c r="AI198" s="113" t="s">
        <v>5216</v>
      </c>
      <c r="AJ198" s="113">
        <v>880000</v>
      </c>
      <c r="AK198" s="99">
        <v>4</v>
      </c>
      <c r="AL198" s="20">
        <f t="shared" si="74"/>
        <v>134</v>
      </c>
      <c r="AM198" s="117">
        <f t="shared" si="75"/>
        <v>117920000</v>
      </c>
      <c r="AN198" s="20"/>
    </row>
    <row r="199" spans="15:45">
      <c r="P199" s="114"/>
      <c r="Q199" s="19" t="s">
        <v>5019</v>
      </c>
      <c r="R199" s="19" t="s">
        <v>5201</v>
      </c>
      <c r="S199" s="117">
        <v>-200000</v>
      </c>
      <c r="T199" s="213" t="s">
        <v>4702</v>
      </c>
      <c r="U199" s="213">
        <v>49555</v>
      </c>
      <c r="V199" s="113">
        <v>238.345</v>
      </c>
      <c r="W199" s="113">
        <f t="shared" si="65"/>
        <v>11811186.475</v>
      </c>
      <c r="X199" s="99" t="s">
        <v>749</v>
      </c>
      <c r="Y199" t="s">
        <v>25</v>
      </c>
      <c r="AH199" s="99">
        <v>179</v>
      </c>
      <c r="AI199" s="113" t="s">
        <v>5221</v>
      </c>
      <c r="AJ199" s="113">
        <v>-900000</v>
      </c>
      <c r="AK199" s="99">
        <v>1</v>
      </c>
      <c r="AL199" s="20">
        <f t="shared" si="74"/>
        <v>130</v>
      </c>
      <c r="AM199" s="117">
        <f t="shared" si="75"/>
        <v>-117000000</v>
      </c>
      <c r="AN199" s="20"/>
    </row>
    <row r="200" spans="15:45">
      <c r="P200" s="114"/>
      <c r="Q200" s="190" t="s">
        <v>5222</v>
      </c>
      <c r="R200" s="190" t="s">
        <v>5221</v>
      </c>
      <c r="S200" s="196">
        <v>1000000</v>
      </c>
      <c r="T200" s="213" t="s">
        <v>4702</v>
      </c>
      <c r="U200" s="213">
        <v>49555</v>
      </c>
      <c r="V200" s="113">
        <v>238.345</v>
      </c>
      <c r="W200" s="113">
        <f t="shared" si="65"/>
        <v>11811186.475</v>
      </c>
      <c r="X200" s="99" t="s">
        <v>452</v>
      </c>
      <c r="AH200" s="99">
        <v>180</v>
      </c>
      <c r="AI200" s="113" t="s">
        <v>989</v>
      </c>
      <c r="AJ200" s="113">
        <v>-3500000</v>
      </c>
      <c r="AK200" s="99">
        <v>1</v>
      </c>
      <c r="AL200" s="20">
        <f t="shared" si="74"/>
        <v>129</v>
      </c>
      <c r="AM200" s="117">
        <f t="shared" si="75"/>
        <v>-451500000</v>
      </c>
      <c r="AN200" s="20"/>
      <c r="AR200" t="s">
        <v>25</v>
      </c>
    </row>
    <row r="201" spans="15:45">
      <c r="Q201" s="19" t="s">
        <v>5019</v>
      </c>
      <c r="R201" s="19" t="s">
        <v>5236</v>
      </c>
      <c r="S201" s="117">
        <v>-122000</v>
      </c>
      <c r="T201" s="213" t="s">
        <v>4716</v>
      </c>
      <c r="U201" s="213">
        <v>160187</v>
      </c>
      <c r="V201" s="113">
        <v>257.49799999999999</v>
      </c>
      <c r="W201" s="113">
        <f t="shared" si="65"/>
        <v>41247832.126000002</v>
      </c>
      <c r="X201" s="99" t="s">
        <v>749</v>
      </c>
      <c r="Z201" t="s">
        <v>25</v>
      </c>
      <c r="AH201" s="99">
        <v>181</v>
      </c>
      <c r="AI201" s="113" t="s">
        <v>4271</v>
      </c>
      <c r="AJ201" s="113">
        <v>-1600000</v>
      </c>
      <c r="AK201" s="99">
        <v>1</v>
      </c>
      <c r="AL201" s="20">
        <f t="shared" si="74"/>
        <v>128</v>
      </c>
      <c r="AM201" s="117">
        <f t="shared" si="75"/>
        <v>-204800000</v>
      </c>
      <c r="AN201" s="20"/>
      <c r="AQ201" t="s">
        <v>25</v>
      </c>
    </row>
    <row r="202" spans="15:45">
      <c r="P202" s="114"/>
      <c r="Q202" s="19" t="s">
        <v>5019</v>
      </c>
      <c r="R202" s="19" t="s">
        <v>5244</v>
      </c>
      <c r="S202" s="117">
        <v>-700000</v>
      </c>
      <c r="T202" s="213" t="s">
        <v>4716</v>
      </c>
      <c r="U202" s="213">
        <v>160187</v>
      </c>
      <c r="V202" s="113">
        <v>257.49799999999999</v>
      </c>
      <c r="W202" s="113">
        <f t="shared" si="65"/>
        <v>41247832.126000002</v>
      </c>
      <c r="X202" s="99" t="s">
        <v>452</v>
      </c>
      <c r="AH202" s="99">
        <v>182</v>
      </c>
      <c r="AI202" s="113" t="s">
        <v>5227</v>
      </c>
      <c r="AJ202" s="113">
        <v>-800000</v>
      </c>
      <c r="AK202" s="99">
        <v>7</v>
      </c>
      <c r="AL202" s="20">
        <f t="shared" si="74"/>
        <v>127</v>
      </c>
      <c r="AM202" s="117">
        <f t="shared" si="75"/>
        <v>-101600000</v>
      </c>
      <c r="AN202" s="20"/>
    </row>
    <row r="203" spans="15:45">
      <c r="P203" s="114"/>
      <c r="Q203" s="19" t="s">
        <v>5019</v>
      </c>
      <c r="R203" s="19" t="s">
        <v>5256</v>
      </c>
      <c r="S203" s="117">
        <v>-60000</v>
      </c>
      <c r="T203" s="213" t="s">
        <v>4723</v>
      </c>
      <c r="U203" s="213">
        <v>144401</v>
      </c>
      <c r="V203" s="113">
        <v>258.5061</v>
      </c>
      <c r="W203" s="113">
        <f t="shared" si="65"/>
        <v>37328539.346100003</v>
      </c>
      <c r="X203" s="99" t="s">
        <v>749</v>
      </c>
      <c r="Y203" s="122" t="s">
        <v>25</v>
      </c>
      <c r="AH203" s="99">
        <v>183</v>
      </c>
      <c r="AI203" s="113" t="s">
        <v>5236</v>
      </c>
      <c r="AJ203" s="113">
        <v>50000</v>
      </c>
      <c r="AK203" s="99">
        <v>2</v>
      </c>
      <c r="AL203" s="20">
        <f t="shared" si="74"/>
        <v>120</v>
      </c>
      <c r="AM203" s="117">
        <f t="shared" si="75"/>
        <v>6000000</v>
      </c>
      <c r="AN203" s="20"/>
    </row>
    <row r="204" spans="15:45">
      <c r="Q204" s="19" t="s">
        <v>4435</v>
      </c>
      <c r="R204" s="19" t="s">
        <v>5318</v>
      </c>
      <c r="S204" s="117">
        <v>700000</v>
      </c>
      <c r="T204" s="213" t="s">
        <v>4723</v>
      </c>
      <c r="U204" s="213">
        <v>144401</v>
      </c>
      <c r="V204" s="113">
        <v>258.5061</v>
      </c>
      <c r="W204" s="113">
        <f t="shared" si="65"/>
        <v>37328539.346100003</v>
      </c>
      <c r="X204" s="99" t="s">
        <v>452</v>
      </c>
      <c r="AH204" s="99">
        <v>184</v>
      </c>
      <c r="AI204" s="113" t="s">
        <v>5238</v>
      </c>
      <c r="AJ204" s="113">
        <v>400000</v>
      </c>
      <c r="AK204" s="99">
        <v>8</v>
      </c>
      <c r="AL204" s="20">
        <f t="shared" ref="AL204:AL213" si="76">AL205+AK204</f>
        <v>118</v>
      </c>
      <c r="AM204" s="117">
        <f t="shared" ref="AM204:AM213" si="77">AJ204*AL204</f>
        <v>47200000</v>
      </c>
      <c r="AN204" s="20"/>
      <c r="AR204" t="s">
        <v>25</v>
      </c>
    </row>
    <row r="205" spans="15:45">
      <c r="P205" s="114"/>
      <c r="Q205" s="189" t="s">
        <v>5328</v>
      </c>
      <c r="R205" s="189" t="s">
        <v>5327</v>
      </c>
      <c r="S205" s="188">
        <v>-2000000</v>
      </c>
      <c r="T205" s="168" t="s">
        <v>4729</v>
      </c>
      <c r="U205" s="168">
        <v>196500</v>
      </c>
      <c r="V205" s="113">
        <v>254.452</v>
      </c>
      <c r="W205" s="113">
        <f t="shared" si="65"/>
        <v>49999818</v>
      </c>
      <c r="X205" s="99" t="s">
        <v>4733</v>
      </c>
      <c r="Y205" t="s">
        <v>25</v>
      </c>
      <c r="AH205" s="99">
        <v>185</v>
      </c>
      <c r="AI205" s="113" t="s">
        <v>5211</v>
      </c>
      <c r="AJ205" s="113">
        <v>-10000000</v>
      </c>
      <c r="AK205" s="99">
        <v>0</v>
      </c>
      <c r="AL205" s="20">
        <f t="shared" si="76"/>
        <v>110</v>
      </c>
      <c r="AM205" s="117">
        <f t="shared" si="77"/>
        <v>-1100000000</v>
      </c>
      <c r="AN205" s="20" t="s">
        <v>5044</v>
      </c>
    </row>
    <row r="206" spans="15:45">
      <c r="P206" s="114"/>
      <c r="Q206" s="189" t="s">
        <v>5336</v>
      </c>
      <c r="R206" s="189" t="s">
        <v>5330</v>
      </c>
      <c r="S206" s="188">
        <v>2000000</v>
      </c>
      <c r="T206" s="213" t="s">
        <v>4729</v>
      </c>
      <c r="U206" s="213">
        <v>2561</v>
      </c>
      <c r="V206" s="113">
        <v>254.536</v>
      </c>
      <c r="W206" s="113">
        <f t="shared" si="65"/>
        <v>651866.696</v>
      </c>
      <c r="X206" s="99" t="s">
        <v>4734</v>
      </c>
      <c r="AH206" s="99">
        <v>186</v>
      </c>
      <c r="AI206" s="113" t="s">
        <v>5211</v>
      </c>
      <c r="AJ206" s="113">
        <v>3000000</v>
      </c>
      <c r="AK206" s="99">
        <v>1</v>
      </c>
      <c r="AL206" s="20">
        <f t="shared" si="76"/>
        <v>110</v>
      </c>
      <c r="AM206" s="117">
        <f t="shared" si="77"/>
        <v>330000000</v>
      </c>
      <c r="AN206" s="20"/>
    </row>
    <row r="207" spans="15:45">
      <c r="Q207" s="189" t="s">
        <v>1083</v>
      </c>
      <c r="R207" s="189" t="s">
        <v>5343</v>
      </c>
      <c r="S207" s="188">
        <v>40000000</v>
      </c>
      <c r="T207" s="213" t="s">
        <v>4777</v>
      </c>
      <c r="U207" s="213">
        <v>-11795</v>
      </c>
      <c r="V207" s="113">
        <v>254.334</v>
      </c>
      <c r="W207" s="113">
        <f t="shared" si="65"/>
        <v>-2999869.5300000003</v>
      </c>
      <c r="X207" s="99" t="s">
        <v>4778</v>
      </c>
      <c r="AH207" s="99">
        <v>187</v>
      </c>
      <c r="AI207" s="113" t="s">
        <v>5252</v>
      </c>
      <c r="AJ207" s="113">
        <v>500000</v>
      </c>
      <c r="AK207" s="99">
        <v>23</v>
      </c>
      <c r="AL207" s="20">
        <f t="shared" si="76"/>
        <v>109</v>
      </c>
      <c r="AM207" s="117">
        <f t="shared" si="77"/>
        <v>54500000</v>
      </c>
      <c r="AN207" s="20"/>
      <c r="AR207" t="s">
        <v>25</v>
      </c>
    </row>
    <row r="208" spans="15:45">
      <c r="P208" s="114"/>
      <c r="Q208" s="19" t="s">
        <v>4435</v>
      </c>
      <c r="R208" s="19" t="s">
        <v>5348</v>
      </c>
      <c r="S208" s="117">
        <v>-800000</v>
      </c>
      <c r="T208" s="213" t="s">
        <v>4777</v>
      </c>
      <c r="U208" s="213">
        <v>11795</v>
      </c>
      <c r="V208" s="113">
        <v>254.334</v>
      </c>
      <c r="W208" s="113">
        <f t="shared" si="65"/>
        <v>2999869.5300000003</v>
      </c>
      <c r="X208" s="99" t="s">
        <v>4779</v>
      </c>
      <c r="AH208" s="99">
        <v>188</v>
      </c>
      <c r="AI208" s="113" t="s">
        <v>5276</v>
      </c>
      <c r="AJ208" s="113">
        <v>101268</v>
      </c>
      <c r="AK208" s="99">
        <v>1</v>
      </c>
      <c r="AL208" s="20">
        <f t="shared" si="76"/>
        <v>86</v>
      </c>
      <c r="AM208" s="117">
        <f t="shared" si="77"/>
        <v>8709048</v>
      </c>
      <c r="AN208" s="20"/>
      <c r="AR208" t="s">
        <v>25</v>
      </c>
    </row>
    <row r="209" spans="16:46">
      <c r="Q209" s="213" t="s">
        <v>4435</v>
      </c>
      <c r="R209" s="213" t="s">
        <v>5442</v>
      </c>
      <c r="S209" s="117">
        <v>700000</v>
      </c>
      <c r="T209" s="213" t="s">
        <v>4791</v>
      </c>
      <c r="U209" s="213">
        <v>260</v>
      </c>
      <c r="V209" s="113">
        <v>263.19</v>
      </c>
      <c r="W209" s="113">
        <f t="shared" si="65"/>
        <v>68429.399999999994</v>
      </c>
      <c r="X209" s="99" t="s">
        <v>452</v>
      </c>
      <c r="AH209" s="99">
        <v>189</v>
      </c>
      <c r="AI209" s="113" t="s">
        <v>5279</v>
      </c>
      <c r="AJ209" s="113">
        <v>101000</v>
      </c>
      <c r="AK209" s="99">
        <v>34</v>
      </c>
      <c r="AL209" s="20">
        <f t="shared" si="76"/>
        <v>85</v>
      </c>
      <c r="AM209" s="117">
        <f t="shared" si="77"/>
        <v>8585000</v>
      </c>
      <c r="AN209" s="20"/>
      <c r="AP209" t="s">
        <v>25</v>
      </c>
      <c r="AT209" s="96" t="s">
        <v>25</v>
      </c>
    </row>
    <row r="210" spans="16:46">
      <c r="P210" t="s">
        <v>25</v>
      </c>
      <c r="Q210" s="189" t="s">
        <v>5463</v>
      </c>
      <c r="R210" s="189" t="s">
        <v>5461</v>
      </c>
      <c r="S210" s="188">
        <v>-26000000</v>
      </c>
      <c r="T210" s="213" t="s">
        <v>4800</v>
      </c>
      <c r="U210" s="213">
        <v>15257</v>
      </c>
      <c r="V210" s="113">
        <v>262.19018</v>
      </c>
      <c r="W210" s="113">
        <f t="shared" si="65"/>
        <v>4000235.57626</v>
      </c>
      <c r="X210" s="99" t="s">
        <v>452</v>
      </c>
      <c r="Y210" s="8" t="s">
        <v>25</v>
      </c>
      <c r="Z210" t="s">
        <v>25</v>
      </c>
      <c r="AH210" s="99">
        <v>190</v>
      </c>
      <c r="AI210" s="113" t="s">
        <v>5304</v>
      </c>
      <c r="AJ210" s="113">
        <v>-488602</v>
      </c>
      <c r="AK210" s="99">
        <v>5</v>
      </c>
      <c r="AL210" s="20">
        <f t="shared" si="76"/>
        <v>51</v>
      </c>
      <c r="AM210" s="117">
        <f t="shared" si="77"/>
        <v>-24918702</v>
      </c>
      <c r="AN210" s="20"/>
      <c r="AR210" t="s">
        <v>25</v>
      </c>
    </row>
    <row r="211" spans="16:46">
      <c r="Q211" s="189" t="s">
        <v>5463</v>
      </c>
      <c r="R211" s="189" t="s">
        <v>5467</v>
      </c>
      <c r="S211" s="188">
        <v>-95900000</v>
      </c>
      <c r="T211" s="213" t="s">
        <v>4800</v>
      </c>
      <c r="U211" s="213">
        <v>8444</v>
      </c>
      <c r="V211" s="113">
        <v>266.43029999999999</v>
      </c>
      <c r="W211" s="113">
        <f t="shared" si="65"/>
        <v>2249737.4531999999</v>
      </c>
      <c r="X211" s="99" t="s">
        <v>452</v>
      </c>
      <c r="AH211" s="99">
        <v>191</v>
      </c>
      <c r="AI211" s="113" t="s">
        <v>5318</v>
      </c>
      <c r="AJ211" s="113">
        <v>360000</v>
      </c>
      <c r="AK211" s="99">
        <v>10</v>
      </c>
      <c r="AL211" s="20">
        <f t="shared" si="76"/>
        <v>46</v>
      </c>
      <c r="AM211" s="117">
        <f t="shared" si="77"/>
        <v>16560000</v>
      </c>
      <c r="AN211" s="20"/>
      <c r="AR211" t="s">
        <v>25</v>
      </c>
    </row>
    <row r="212" spans="16:46">
      <c r="P212" s="114"/>
      <c r="Q212" s="189" t="s">
        <v>5463</v>
      </c>
      <c r="R212" s="189" t="s">
        <v>5468</v>
      </c>
      <c r="S212" s="188">
        <v>-28950000</v>
      </c>
      <c r="T212" s="213" t="s">
        <v>4805</v>
      </c>
      <c r="U212" s="213">
        <v>-6209</v>
      </c>
      <c r="V212" s="113">
        <v>273.79649999999998</v>
      </c>
      <c r="W212" s="113">
        <f t="shared" si="65"/>
        <v>-1700002.4685</v>
      </c>
      <c r="X212" s="99" t="s">
        <v>4816</v>
      </c>
      <c r="AH212" s="99">
        <v>192</v>
      </c>
      <c r="AI212" s="113" t="s">
        <v>5330</v>
      </c>
      <c r="AJ212" s="113">
        <v>-3600000</v>
      </c>
      <c r="AK212" s="99">
        <v>4</v>
      </c>
      <c r="AL212" s="20">
        <f t="shared" si="76"/>
        <v>36</v>
      </c>
      <c r="AM212" s="117">
        <f t="shared" si="77"/>
        <v>-129600000</v>
      </c>
      <c r="AN212" s="20"/>
      <c r="AS212" t="s">
        <v>25</v>
      </c>
    </row>
    <row r="213" spans="16:46">
      <c r="P213" s="114"/>
      <c r="Q213" s="172" t="s">
        <v>5480</v>
      </c>
      <c r="R213" s="172" t="s">
        <v>5478</v>
      </c>
      <c r="S213" s="170">
        <v>2000000</v>
      </c>
      <c r="T213" s="213" t="s">
        <v>4805</v>
      </c>
      <c r="U213" s="213">
        <v>-8014</v>
      </c>
      <c r="V213" s="113">
        <v>273.79649999999998</v>
      </c>
      <c r="W213" s="113">
        <f t="shared" si="65"/>
        <v>-2194205.1510000001</v>
      </c>
      <c r="X213" s="99" t="s">
        <v>749</v>
      </c>
      <c r="AH213" s="99">
        <v>193</v>
      </c>
      <c r="AI213" s="113" t="s">
        <v>5340</v>
      </c>
      <c r="AJ213" s="113">
        <v>-1000000</v>
      </c>
      <c r="AK213" s="99">
        <v>5</v>
      </c>
      <c r="AL213" s="20">
        <f t="shared" si="76"/>
        <v>32</v>
      </c>
      <c r="AM213" s="117">
        <f t="shared" si="77"/>
        <v>-32000000</v>
      </c>
      <c r="AN213" s="20"/>
      <c r="AR213" t="s">
        <v>25</v>
      </c>
    </row>
    <row r="214" spans="16:46">
      <c r="P214" s="114"/>
      <c r="Q214" s="213" t="s">
        <v>5486</v>
      </c>
      <c r="R214" s="213" t="s">
        <v>5484</v>
      </c>
      <c r="S214" s="113">
        <v>1896188</v>
      </c>
      <c r="T214" s="213" t="s">
        <v>4814</v>
      </c>
      <c r="U214" s="213">
        <v>-9176</v>
      </c>
      <c r="V214" s="113">
        <v>273.79649999999998</v>
      </c>
      <c r="W214" s="113">
        <f t="shared" si="65"/>
        <v>-2512356.6839999999</v>
      </c>
      <c r="X214" s="99" t="s">
        <v>452</v>
      </c>
      <c r="AH214" s="99">
        <v>194</v>
      </c>
      <c r="AI214" s="113" t="s">
        <v>5346</v>
      </c>
      <c r="AJ214" s="113">
        <v>360000</v>
      </c>
      <c r="AK214" s="99">
        <v>2</v>
      </c>
      <c r="AL214" s="20">
        <f t="shared" ref="AL214:AL218" si="78">AL215+AK214</f>
        <v>27</v>
      </c>
      <c r="AM214" s="117">
        <f t="shared" ref="AM214:AM219" si="79">AJ214*AL214</f>
        <v>9720000</v>
      </c>
      <c r="AN214" s="20"/>
      <c r="AQ214" t="s">
        <v>25</v>
      </c>
    </row>
    <row r="215" spans="16:46">
      <c r="P215" s="114"/>
      <c r="Q215" s="189" t="s">
        <v>5602</v>
      </c>
      <c r="R215" s="189" t="s">
        <v>5599</v>
      </c>
      <c r="S215" s="188">
        <v>0</v>
      </c>
      <c r="T215" s="213" t="s">
        <v>4814</v>
      </c>
      <c r="U215" s="213">
        <v>1087</v>
      </c>
      <c r="V215" s="113">
        <v>273.79649999999998</v>
      </c>
      <c r="W215" s="113">
        <f t="shared" si="65"/>
        <v>297616.79550000001</v>
      </c>
      <c r="X215" s="99" t="s">
        <v>452</v>
      </c>
      <c r="AH215" s="99">
        <v>195</v>
      </c>
      <c r="AI215" s="113" t="s">
        <v>5351</v>
      </c>
      <c r="AJ215" s="113">
        <v>2000000</v>
      </c>
      <c r="AK215" s="99">
        <v>1</v>
      </c>
      <c r="AL215" s="20">
        <f t="shared" si="78"/>
        <v>25</v>
      </c>
      <c r="AM215" s="117">
        <f t="shared" si="79"/>
        <v>50000000</v>
      </c>
      <c r="AN215" s="20"/>
    </row>
    <row r="216" spans="16:46">
      <c r="P216" s="114"/>
      <c r="Q216" s="213"/>
      <c r="R216" s="213"/>
      <c r="S216" s="113"/>
      <c r="T216" s="213" t="s">
        <v>978</v>
      </c>
      <c r="U216" s="213">
        <v>-4017</v>
      </c>
      <c r="V216" s="113">
        <v>273.79649999999998</v>
      </c>
      <c r="W216" s="113">
        <f t="shared" si="65"/>
        <v>-1099840.5404999999</v>
      </c>
      <c r="X216" s="99" t="s">
        <v>4435</v>
      </c>
      <c r="AH216" s="99">
        <v>196</v>
      </c>
      <c r="AI216" s="113" t="s">
        <v>5354</v>
      </c>
      <c r="AJ216" s="113">
        <v>20000000</v>
      </c>
      <c r="AK216" s="99">
        <v>0</v>
      </c>
      <c r="AL216" s="20">
        <f t="shared" si="78"/>
        <v>24</v>
      </c>
      <c r="AM216" s="117">
        <f t="shared" si="79"/>
        <v>480000000</v>
      </c>
      <c r="AN216" s="20" t="s">
        <v>4731</v>
      </c>
      <c r="AR216" t="s">
        <v>25</v>
      </c>
    </row>
    <row r="217" spans="16:46">
      <c r="P217" s="114"/>
      <c r="Q217" s="213"/>
      <c r="R217" s="213"/>
      <c r="S217" s="113">
        <f>SUM(S181:S215)</f>
        <v>-14005257</v>
      </c>
      <c r="T217" s="213" t="s">
        <v>978</v>
      </c>
      <c r="U217" s="213">
        <v>4017</v>
      </c>
      <c r="V217" s="113">
        <v>273.79649999999998</v>
      </c>
      <c r="W217" s="113">
        <f t="shared" si="65"/>
        <v>1099840.5404999999</v>
      </c>
      <c r="X217" s="99" t="s">
        <v>452</v>
      </c>
      <c r="AH217" s="99">
        <v>197</v>
      </c>
      <c r="AI217" s="113" t="s">
        <v>5354</v>
      </c>
      <c r="AJ217" s="113">
        <v>-4700000</v>
      </c>
      <c r="AK217" s="99">
        <v>1</v>
      </c>
      <c r="AL217" s="20">
        <f t="shared" si="78"/>
        <v>24</v>
      </c>
      <c r="AM217" s="117">
        <f t="shared" si="79"/>
        <v>-112800000</v>
      </c>
      <c r="AN217" s="20"/>
    </row>
    <row r="218" spans="16:46">
      <c r="P218" s="114"/>
      <c r="Q218" s="41"/>
      <c r="R218" s="213"/>
      <c r="S218" s="213" t="s">
        <v>6</v>
      </c>
      <c r="T218" s="213" t="s">
        <v>4821</v>
      </c>
      <c r="U218" s="213">
        <v>3137</v>
      </c>
      <c r="V218" s="113">
        <v>283.69110000000001</v>
      </c>
      <c r="W218" s="113">
        <f t="shared" si="65"/>
        <v>889938.98070000007</v>
      </c>
      <c r="X218" s="99" t="s">
        <v>452</v>
      </c>
      <c r="AH218" s="99">
        <v>198</v>
      </c>
      <c r="AI218" s="113" t="s">
        <v>5359</v>
      </c>
      <c r="AJ218" s="113">
        <v>3000000</v>
      </c>
      <c r="AK218" s="99">
        <v>4</v>
      </c>
      <c r="AL218" s="20">
        <f t="shared" si="78"/>
        <v>23</v>
      </c>
      <c r="AM218" s="117">
        <f t="shared" si="79"/>
        <v>69000000</v>
      </c>
      <c r="AN218" s="20"/>
      <c r="AS218" t="s">
        <v>25</v>
      </c>
    </row>
    <row r="219" spans="16:46">
      <c r="P219" s="114"/>
      <c r="Q219" s="96"/>
      <c r="T219" s="213" t="s">
        <v>4834</v>
      </c>
      <c r="U219" s="213">
        <v>101933</v>
      </c>
      <c r="V219" s="113">
        <v>294.30973999999998</v>
      </c>
      <c r="W219" s="113">
        <f t="shared" si="65"/>
        <v>29999874.727419998</v>
      </c>
      <c r="X219" s="99" t="s">
        <v>1083</v>
      </c>
      <c r="AH219" s="99">
        <v>199</v>
      </c>
      <c r="AI219" s="113" t="s">
        <v>5362</v>
      </c>
      <c r="AJ219" s="113">
        <v>1500000</v>
      </c>
      <c r="AK219" s="99">
        <v>1</v>
      </c>
      <c r="AL219" s="20">
        <f>AL226+AK219</f>
        <v>19</v>
      </c>
      <c r="AM219" s="117">
        <f t="shared" si="79"/>
        <v>28500000</v>
      </c>
      <c r="AN219" s="20"/>
    </row>
    <row r="220" spans="16:46">
      <c r="P220" s="114"/>
      <c r="Q220" s="96" t="s">
        <v>25</v>
      </c>
      <c r="R220" s="96" t="s">
        <v>25</v>
      </c>
      <c r="T220" s="213" t="s">
        <v>4841</v>
      </c>
      <c r="U220" s="213">
        <v>3407</v>
      </c>
      <c r="V220" s="113">
        <v>293.43799999999999</v>
      </c>
      <c r="W220" s="113">
        <f t="shared" si="65"/>
        <v>999743.26599999995</v>
      </c>
      <c r="X220" s="99" t="s">
        <v>452</v>
      </c>
      <c r="AH220" s="99">
        <v>200</v>
      </c>
      <c r="AI220" s="113" t="s">
        <v>5365</v>
      </c>
      <c r="AJ220" s="113">
        <v>30000000</v>
      </c>
      <c r="AK220" s="99">
        <v>33</v>
      </c>
      <c r="AL220" s="20">
        <f t="shared" ref="AL220:AL225" si="80">AL232+AK220</f>
        <v>33</v>
      </c>
      <c r="AM220" s="117">
        <f t="shared" ref="AM220:AM221" si="81">AJ220*AL220</f>
        <v>990000000</v>
      </c>
      <c r="AN220" s="20"/>
    </row>
    <row r="221" spans="16:46">
      <c r="Q221" s="96"/>
      <c r="R221" s="96" t="s">
        <v>25</v>
      </c>
      <c r="S221" t="s">
        <v>25</v>
      </c>
      <c r="T221" s="213" t="s">
        <v>4842</v>
      </c>
      <c r="U221" s="213">
        <v>68796</v>
      </c>
      <c r="V221" s="113">
        <v>293.53250000000003</v>
      </c>
      <c r="W221" s="113">
        <f t="shared" si="65"/>
        <v>20193861.870000001</v>
      </c>
      <c r="X221" s="99" t="s">
        <v>749</v>
      </c>
      <c r="AH221" s="99">
        <v>201</v>
      </c>
      <c r="AI221" s="113" t="s">
        <v>5446</v>
      </c>
      <c r="AJ221" s="113">
        <v>3000000</v>
      </c>
      <c r="AK221" s="99">
        <v>1</v>
      </c>
      <c r="AL221" s="20">
        <f t="shared" si="80"/>
        <v>1</v>
      </c>
      <c r="AM221" s="117">
        <f t="shared" si="81"/>
        <v>3000000</v>
      </c>
      <c r="AN221" s="20"/>
    </row>
    <row r="222" spans="16:46">
      <c r="S222" t="s">
        <v>25</v>
      </c>
      <c r="T222" s="213" t="s">
        <v>4842</v>
      </c>
      <c r="U222" s="213">
        <v>154791</v>
      </c>
      <c r="V222" s="113">
        <v>293.53250000000003</v>
      </c>
      <c r="W222" s="113">
        <f t="shared" si="65"/>
        <v>45436189.207500003</v>
      </c>
      <c r="X222" s="99" t="s">
        <v>452</v>
      </c>
      <c r="AH222" s="99">
        <v>202</v>
      </c>
      <c r="AI222" s="113" t="s">
        <v>5447</v>
      </c>
      <c r="AJ222" s="113">
        <v>7000000</v>
      </c>
      <c r="AK222" s="99">
        <v>4</v>
      </c>
      <c r="AL222" s="20">
        <f t="shared" si="80"/>
        <v>4</v>
      </c>
      <c r="AM222" s="117">
        <f t="shared" ref="AM222:AM225" si="82">AJ222*AL222</f>
        <v>28000000</v>
      </c>
      <c r="AN222" s="20"/>
    </row>
    <row r="223" spans="16:46">
      <c r="P223" s="114" t="s">
        <v>25</v>
      </c>
      <c r="Q223" s="99" t="s">
        <v>749</v>
      </c>
      <c r="R223" s="99"/>
      <c r="T223" s="213" t="s">
        <v>4842</v>
      </c>
      <c r="U223" s="213">
        <v>-11923</v>
      </c>
      <c r="V223" s="113">
        <v>293.53250000000003</v>
      </c>
      <c r="W223" s="113">
        <f t="shared" si="65"/>
        <v>-3499787.9975000005</v>
      </c>
      <c r="X223" s="99" t="s">
        <v>452</v>
      </c>
      <c r="AH223" s="99">
        <v>203</v>
      </c>
      <c r="AI223" s="113" t="s">
        <v>5460</v>
      </c>
      <c r="AJ223" s="113">
        <v>8800000</v>
      </c>
      <c r="AK223" s="99">
        <v>2</v>
      </c>
      <c r="AL223" s="20">
        <f t="shared" si="80"/>
        <v>2</v>
      </c>
      <c r="AM223" s="117">
        <f t="shared" si="82"/>
        <v>17600000</v>
      </c>
      <c r="AN223" s="20"/>
    </row>
    <row r="224" spans="16:46">
      <c r="P224" s="114"/>
      <c r="Q224" s="99" t="s">
        <v>4428</v>
      </c>
      <c r="R224" s="95">
        <v>172908000</v>
      </c>
      <c r="T224" s="213" t="s">
        <v>4855</v>
      </c>
      <c r="U224" s="213">
        <v>8424</v>
      </c>
      <c r="V224" s="113">
        <v>299.15170000000001</v>
      </c>
      <c r="W224" s="113">
        <f t="shared" si="65"/>
        <v>2520053.9208</v>
      </c>
      <c r="X224" s="99" t="s">
        <v>452</v>
      </c>
      <c r="Z224" t="s">
        <v>25</v>
      </c>
      <c r="AH224" s="99">
        <v>204</v>
      </c>
      <c r="AI224" s="113" t="s">
        <v>5467</v>
      </c>
      <c r="AJ224" s="113">
        <v>40000000</v>
      </c>
      <c r="AK224" s="99">
        <v>8</v>
      </c>
      <c r="AL224" s="20">
        <f t="shared" si="80"/>
        <v>8</v>
      </c>
      <c r="AM224" s="117">
        <f t="shared" si="82"/>
        <v>320000000</v>
      </c>
      <c r="AN224" s="20" t="s">
        <v>4731</v>
      </c>
    </row>
    <row r="225" spans="15:45">
      <c r="Q225" s="99" t="s">
        <v>4468</v>
      </c>
      <c r="R225" s="95">
        <v>1400000</v>
      </c>
      <c r="T225" s="213" t="s">
        <v>4890</v>
      </c>
      <c r="U225" s="213">
        <v>15943</v>
      </c>
      <c r="V225" s="113">
        <v>307.34415000000001</v>
      </c>
      <c r="W225" s="113">
        <f t="shared" si="65"/>
        <v>4899987.78345</v>
      </c>
      <c r="X225" s="99" t="s">
        <v>452</v>
      </c>
      <c r="AH225" s="99">
        <v>205</v>
      </c>
      <c r="AI225" s="113" t="s">
        <v>5484</v>
      </c>
      <c r="AJ225" s="113">
        <v>400000</v>
      </c>
      <c r="AK225" s="99">
        <v>17</v>
      </c>
      <c r="AL225" s="20">
        <f t="shared" si="80"/>
        <v>17</v>
      </c>
      <c r="AM225" s="117">
        <f t="shared" si="82"/>
        <v>6800000</v>
      </c>
      <c r="AN225" s="20"/>
      <c r="AR225" t="s">
        <v>25</v>
      </c>
    </row>
    <row r="226" spans="15:45">
      <c r="Q226" s="99" t="s">
        <v>4222</v>
      </c>
      <c r="R226" s="95">
        <v>247393</v>
      </c>
      <c r="S226" t="s">
        <v>25</v>
      </c>
      <c r="T226" s="213" t="s">
        <v>4910</v>
      </c>
      <c r="U226" s="213">
        <v>3741</v>
      </c>
      <c r="V226" s="113">
        <v>307.34415000000001</v>
      </c>
      <c r="W226" s="113">
        <f t="shared" si="65"/>
        <v>1149774.4651500001</v>
      </c>
      <c r="X226" s="99" t="s">
        <v>452</v>
      </c>
      <c r="Y226" t="s">
        <v>25</v>
      </c>
      <c r="AH226" s="99">
        <v>206</v>
      </c>
      <c r="AI226" s="113" t="s">
        <v>5507</v>
      </c>
      <c r="AJ226" s="113">
        <v>-20000000</v>
      </c>
      <c r="AK226" s="99">
        <v>18</v>
      </c>
      <c r="AL226" s="20">
        <f t="shared" ref="AL226:AL232" si="83">AL238+AK226</f>
        <v>18</v>
      </c>
      <c r="AM226" s="117">
        <f t="shared" ref="AM226:AM232" si="84">AJ226*AL226</f>
        <v>-360000000</v>
      </c>
      <c r="AN226" s="20" t="s">
        <v>5044</v>
      </c>
    </row>
    <row r="227" spans="15:45">
      <c r="Q227" s="99" t="s">
        <v>4221</v>
      </c>
      <c r="R227" s="95">
        <v>6780000</v>
      </c>
      <c r="T227" s="213" t="s">
        <v>4916</v>
      </c>
      <c r="U227" s="213">
        <v>-6207</v>
      </c>
      <c r="V227" s="113">
        <v>322.214</v>
      </c>
      <c r="W227" s="113">
        <f t="shared" si="65"/>
        <v>-1999982.298</v>
      </c>
      <c r="X227" s="99" t="s">
        <v>749</v>
      </c>
      <c r="AH227" s="99">
        <v>207</v>
      </c>
      <c r="AI227" s="113" t="s">
        <v>5534</v>
      </c>
      <c r="AJ227" s="113">
        <v>3006000</v>
      </c>
      <c r="AK227" s="99">
        <v>19</v>
      </c>
      <c r="AL227" s="20">
        <f t="shared" si="83"/>
        <v>19</v>
      </c>
      <c r="AM227" s="117">
        <f t="shared" si="84"/>
        <v>57114000</v>
      </c>
      <c r="AN227" s="20"/>
    </row>
    <row r="228" spans="15:45">
      <c r="Q228" s="99" t="s">
        <v>4575</v>
      </c>
      <c r="R228" s="95">
        <v>-4000000</v>
      </c>
      <c r="T228" s="213" t="s">
        <v>4916</v>
      </c>
      <c r="U228" s="213">
        <v>6207</v>
      </c>
      <c r="V228" s="113">
        <v>322.214</v>
      </c>
      <c r="W228" s="113">
        <f t="shared" si="65"/>
        <v>1999982.298</v>
      </c>
      <c r="X228" s="99" t="s">
        <v>4435</v>
      </c>
      <c r="Y228" s="96"/>
      <c r="AH228" s="99">
        <v>208</v>
      </c>
      <c r="AI228" s="113" t="s">
        <v>5408</v>
      </c>
      <c r="AJ228" s="113">
        <v>-130382924</v>
      </c>
      <c r="AK228" s="99">
        <v>0</v>
      </c>
      <c r="AL228" s="20">
        <f t="shared" si="83"/>
        <v>0</v>
      </c>
      <c r="AM228" s="117">
        <f t="shared" si="84"/>
        <v>0</v>
      </c>
      <c r="AN228" s="20" t="s">
        <v>5589</v>
      </c>
      <c r="AR228" t="s">
        <v>25</v>
      </c>
    </row>
    <row r="229" spans="15:45">
      <c r="Q229" s="99" t="s">
        <v>4606</v>
      </c>
      <c r="R229" s="95">
        <v>16727037</v>
      </c>
      <c r="T229" s="213" t="s">
        <v>4862</v>
      </c>
      <c r="U229" s="213">
        <v>776</v>
      </c>
      <c r="V229" s="113">
        <v>322.214</v>
      </c>
      <c r="W229" s="113">
        <f t="shared" si="65"/>
        <v>250038.06400000001</v>
      </c>
      <c r="X229" s="99" t="s">
        <v>452</v>
      </c>
      <c r="Y229" t="s">
        <v>25</v>
      </c>
      <c r="AH229" s="99">
        <v>209</v>
      </c>
      <c r="AI229" s="113" t="s">
        <v>5408</v>
      </c>
      <c r="AJ229" s="113">
        <v>125000000</v>
      </c>
      <c r="AK229" s="99">
        <v>1</v>
      </c>
      <c r="AL229" s="20">
        <f t="shared" si="83"/>
        <v>1</v>
      </c>
      <c r="AM229" s="117">
        <f t="shared" si="84"/>
        <v>125000000</v>
      </c>
      <c r="AN229" s="20"/>
    </row>
    <row r="230" spans="15:45">
      <c r="Q230" s="99" t="s">
        <v>4611</v>
      </c>
      <c r="R230" s="95">
        <v>46460683</v>
      </c>
      <c r="S230" t="s">
        <v>25</v>
      </c>
      <c r="T230" s="213" t="s">
        <v>4942</v>
      </c>
      <c r="U230" s="213">
        <v>1524</v>
      </c>
      <c r="V230" s="113">
        <v>314.95999999999998</v>
      </c>
      <c r="W230" s="113">
        <f t="shared" si="65"/>
        <v>479999.04</v>
      </c>
      <c r="X230" s="99" t="s">
        <v>1083</v>
      </c>
      <c r="AH230" s="99">
        <v>210</v>
      </c>
      <c r="AI230" s="113" t="s">
        <v>5584</v>
      </c>
      <c r="AJ230" s="113">
        <v>7200000</v>
      </c>
      <c r="AK230" s="99">
        <v>1</v>
      </c>
      <c r="AL230" s="20">
        <f t="shared" si="83"/>
        <v>1</v>
      </c>
      <c r="AM230" s="117">
        <f t="shared" si="84"/>
        <v>7200000</v>
      </c>
      <c r="AN230" s="20"/>
      <c r="AQ230" t="s">
        <v>25</v>
      </c>
      <c r="AS230" t="s">
        <v>25</v>
      </c>
    </row>
    <row r="231" spans="15:45">
      <c r="Q231" s="99" t="s">
        <v>4612</v>
      </c>
      <c r="R231" s="95">
        <v>19663646</v>
      </c>
      <c r="T231" s="213" t="s">
        <v>4951</v>
      </c>
      <c r="U231" s="213">
        <v>4435</v>
      </c>
      <c r="V231" s="113">
        <v>316.4375</v>
      </c>
      <c r="W231" s="113">
        <f t="shared" si="65"/>
        <v>1403400.3125</v>
      </c>
      <c r="X231" s="99" t="s">
        <v>452</v>
      </c>
      <c r="AH231" s="99"/>
      <c r="AI231" s="113"/>
      <c r="AJ231" s="113"/>
      <c r="AK231" s="99"/>
      <c r="AL231" s="20">
        <f t="shared" si="83"/>
        <v>0</v>
      </c>
      <c r="AM231" s="117">
        <f t="shared" si="84"/>
        <v>0</v>
      </c>
      <c r="AN231" s="20"/>
      <c r="AR231" t="s">
        <v>25</v>
      </c>
      <c r="AS231" t="s">
        <v>25</v>
      </c>
    </row>
    <row r="232" spans="15:45">
      <c r="Q232" s="99" t="s">
        <v>4635</v>
      </c>
      <c r="R232" s="95">
        <v>4374525</v>
      </c>
      <c r="T232" s="213" t="s">
        <v>4954</v>
      </c>
      <c r="U232" s="213">
        <v>624</v>
      </c>
      <c r="V232" s="113">
        <v>320.5</v>
      </c>
      <c r="W232" s="113">
        <f t="shared" si="65"/>
        <v>199992</v>
      </c>
      <c r="X232" s="99" t="s">
        <v>452</v>
      </c>
      <c r="AH232" s="99"/>
      <c r="AI232" s="113"/>
      <c r="AJ232" s="113"/>
      <c r="AK232" s="99"/>
      <c r="AL232" s="20">
        <f t="shared" si="83"/>
        <v>0</v>
      </c>
      <c r="AM232" s="117">
        <f t="shared" si="84"/>
        <v>0</v>
      </c>
      <c r="AN232" s="20"/>
    </row>
    <row r="233" spans="15:45">
      <c r="Q233" s="99" t="s">
        <v>4646</v>
      </c>
      <c r="R233" s="95">
        <v>6550580</v>
      </c>
      <c r="T233" s="213" t="s">
        <v>4959</v>
      </c>
      <c r="U233" s="213">
        <v>1086</v>
      </c>
      <c r="V233" s="113">
        <v>317.55</v>
      </c>
      <c r="W233" s="113">
        <f t="shared" si="65"/>
        <v>344859.3</v>
      </c>
      <c r="X233" s="99" t="s">
        <v>452</v>
      </c>
      <c r="Y233" t="s">
        <v>25</v>
      </c>
      <c r="AH233" s="99"/>
      <c r="AI233" s="113"/>
      <c r="AJ233" s="113"/>
      <c r="AK233" s="99"/>
      <c r="AL233" s="20">
        <f t="shared" si="72"/>
        <v>0</v>
      </c>
      <c r="AM233" s="117">
        <f t="shared" si="73"/>
        <v>0</v>
      </c>
      <c r="AN233" s="20"/>
    </row>
    <row r="234" spans="15:45">
      <c r="Q234" s="99" t="s">
        <v>4648</v>
      </c>
      <c r="R234" s="95">
        <v>6650895</v>
      </c>
      <c r="T234" s="213" t="s">
        <v>4964</v>
      </c>
      <c r="U234" s="213">
        <v>2820</v>
      </c>
      <c r="V234" s="113">
        <v>319.1096</v>
      </c>
      <c r="W234" s="113">
        <f t="shared" si="65"/>
        <v>899889.07200000004</v>
      </c>
      <c r="X234" s="99" t="s">
        <v>452</v>
      </c>
      <c r="AH234" s="99"/>
      <c r="AI234" s="99"/>
      <c r="AJ234" s="95">
        <f>SUM(AJ20:AJ233)</f>
        <v>582486801</v>
      </c>
      <c r="AK234" s="99"/>
      <c r="AL234" s="99"/>
      <c r="AM234" s="95">
        <f>SUM(AM20:AM233)</f>
        <v>232740401158</v>
      </c>
      <c r="AN234" s="95">
        <f>AM234*AN237/31</f>
        <v>125131750.51936729</v>
      </c>
    </row>
    <row r="235" spans="15:45">
      <c r="Q235" s="99" t="s">
        <v>4665</v>
      </c>
      <c r="R235" s="95">
        <v>2145814</v>
      </c>
      <c r="T235" s="213" t="s">
        <v>4967</v>
      </c>
      <c r="U235" s="213">
        <v>1145</v>
      </c>
      <c r="V235" s="113">
        <v>325.44</v>
      </c>
      <c r="W235" s="113">
        <f t="shared" si="65"/>
        <v>372628.8</v>
      </c>
      <c r="X235" s="99" t="s">
        <v>452</v>
      </c>
      <c r="Z235" t="s">
        <v>25</v>
      </c>
      <c r="AA235" t="s">
        <v>25</v>
      </c>
      <c r="AH235" s="99"/>
      <c r="AI235" s="99"/>
      <c r="AJ235" s="99" t="s">
        <v>4055</v>
      </c>
      <c r="AK235" s="99"/>
      <c r="AL235" s="99"/>
      <c r="AM235" s="99" t="s">
        <v>284</v>
      </c>
      <c r="AN235" s="99" t="s">
        <v>940</v>
      </c>
    </row>
    <row r="236" spans="15:45">
      <c r="Q236" s="99" t="s">
        <v>4676</v>
      </c>
      <c r="R236" s="95">
        <v>4369730</v>
      </c>
      <c r="T236" s="213" t="s">
        <v>4977</v>
      </c>
      <c r="U236" s="213">
        <v>20153</v>
      </c>
      <c r="V236" s="113">
        <v>322</v>
      </c>
      <c r="W236" s="113">
        <f t="shared" si="65"/>
        <v>6489266</v>
      </c>
      <c r="X236" s="99" t="s">
        <v>452</v>
      </c>
      <c r="AH236" s="99"/>
      <c r="AI236" s="99"/>
      <c r="AJ236" s="99"/>
      <c r="AK236" s="99"/>
      <c r="AL236" s="99"/>
      <c r="AM236" s="99"/>
      <c r="AN236" s="99"/>
    </row>
    <row r="237" spans="15:45">
      <c r="Q237" s="99" t="s">
        <v>4678</v>
      </c>
      <c r="R237" s="95">
        <v>8739459</v>
      </c>
      <c r="S237" t="s">
        <v>25</v>
      </c>
      <c r="T237" s="213" t="s">
        <v>4988</v>
      </c>
      <c r="U237" s="213">
        <v>93720</v>
      </c>
      <c r="V237" s="113">
        <v>325.435</v>
      </c>
      <c r="W237" s="113">
        <f t="shared" si="65"/>
        <v>30499768.199999999</v>
      </c>
      <c r="X237" s="99" t="s">
        <v>1083</v>
      </c>
      <c r="Y237" t="s">
        <v>25</v>
      </c>
      <c r="AH237" s="99"/>
      <c r="AI237" s="99"/>
      <c r="AJ237" s="99"/>
      <c r="AK237" s="99"/>
      <c r="AL237" s="99"/>
      <c r="AM237" s="99" t="s">
        <v>4056</v>
      </c>
      <c r="AN237" s="99">
        <v>1.6667000000000001E-2</v>
      </c>
      <c r="AS237" t="s">
        <v>25</v>
      </c>
    </row>
    <row r="238" spans="15:45">
      <c r="Q238" s="99" t="s">
        <v>4687</v>
      </c>
      <c r="R238" s="95">
        <v>6667654</v>
      </c>
      <c r="T238" s="213" t="s">
        <v>4988</v>
      </c>
      <c r="U238" s="213">
        <v>20895</v>
      </c>
      <c r="V238" s="113">
        <v>325.435</v>
      </c>
      <c r="W238" s="113">
        <f t="shared" si="65"/>
        <v>6799964.3250000002</v>
      </c>
      <c r="X238" s="99" t="s">
        <v>749</v>
      </c>
      <c r="AH238" s="99"/>
      <c r="AI238" s="99"/>
      <c r="AJ238" s="99"/>
      <c r="AK238" s="99"/>
      <c r="AL238" s="99"/>
      <c r="AM238" s="99"/>
      <c r="AN238" s="99"/>
      <c r="AR238" t="s">
        <v>25</v>
      </c>
    </row>
    <row r="239" spans="15:45">
      <c r="Q239" s="99" t="s">
        <v>4695</v>
      </c>
      <c r="R239" s="95">
        <v>8981245</v>
      </c>
      <c r="T239" s="213" t="s">
        <v>4997</v>
      </c>
      <c r="U239" s="213">
        <v>2611</v>
      </c>
      <c r="V239" s="113">
        <v>325.435</v>
      </c>
      <c r="W239" s="113">
        <f t="shared" si="65"/>
        <v>849710.78500000003</v>
      </c>
      <c r="X239" s="99" t="s">
        <v>749</v>
      </c>
      <c r="AH239" s="99"/>
      <c r="AI239" s="99" t="s">
        <v>4057</v>
      </c>
      <c r="AJ239" s="95">
        <f>AJ234+AN234</f>
        <v>707618551.51936734</v>
      </c>
      <c r="AK239" s="99"/>
      <c r="AL239" s="99"/>
      <c r="AM239" s="99"/>
      <c r="AN239" s="99"/>
      <c r="AR239" t="s">
        <v>25</v>
      </c>
    </row>
    <row r="240" spans="15:45">
      <c r="O240" t="s">
        <v>25</v>
      </c>
      <c r="Q240" s="99" t="s">
        <v>4699</v>
      </c>
      <c r="R240" s="95">
        <v>9181756</v>
      </c>
      <c r="T240" s="213" t="s">
        <v>5006</v>
      </c>
      <c r="U240" s="213">
        <v>6750</v>
      </c>
      <c r="V240" s="113">
        <v>339.3</v>
      </c>
      <c r="W240" s="113">
        <f t="shared" si="65"/>
        <v>2290275</v>
      </c>
      <c r="X240" s="99" t="s">
        <v>749</v>
      </c>
      <c r="AI240" t="s">
        <v>4060</v>
      </c>
      <c r="AJ240" s="114">
        <f>SUM(N38:N47)</f>
        <v>3866124581</v>
      </c>
      <c r="AM240" t="s">
        <v>25</v>
      </c>
    </row>
    <row r="241" spans="16:43">
      <c r="P241" t="s">
        <v>25</v>
      </c>
      <c r="Q241" s="99" t="s">
        <v>4702</v>
      </c>
      <c r="R241" s="95">
        <v>11811208</v>
      </c>
      <c r="S241" t="s">
        <v>25</v>
      </c>
      <c r="T241" s="213" t="s">
        <v>5014</v>
      </c>
      <c r="U241" s="213">
        <v>1850</v>
      </c>
      <c r="V241" s="113">
        <v>334.10050000000001</v>
      </c>
      <c r="W241" s="113">
        <f t="shared" si="65"/>
        <v>618085.92500000005</v>
      </c>
      <c r="X241" s="99" t="s">
        <v>452</v>
      </c>
      <c r="AI241" t="s">
        <v>4132</v>
      </c>
      <c r="AJ241" s="114">
        <f>AJ240-AJ234</f>
        <v>3283637780</v>
      </c>
      <c r="AM241" t="s">
        <v>25</v>
      </c>
    </row>
    <row r="242" spans="16:43">
      <c r="Q242" s="99" t="s">
        <v>4716</v>
      </c>
      <c r="R242" s="95">
        <v>41248054</v>
      </c>
      <c r="S242" t="s">
        <v>25</v>
      </c>
      <c r="T242" s="213" t="s">
        <v>5014</v>
      </c>
      <c r="U242" s="213">
        <v>-1194</v>
      </c>
      <c r="V242" s="113">
        <v>335</v>
      </c>
      <c r="W242" s="113">
        <f t="shared" si="65"/>
        <v>-399990</v>
      </c>
      <c r="X242" s="99" t="s">
        <v>4435</v>
      </c>
      <c r="AI242" t="s">
        <v>940</v>
      </c>
      <c r="AJ242" s="114">
        <f>AN234</f>
        <v>125131750.51936729</v>
      </c>
      <c r="AN242" t="s">
        <v>25</v>
      </c>
    </row>
    <row r="243" spans="16:43">
      <c r="Q243" s="99" t="s">
        <v>4723</v>
      </c>
      <c r="R243" s="95">
        <v>37328780</v>
      </c>
      <c r="T243" s="213" t="s">
        <v>5014</v>
      </c>
      <c r="U243" s="213">
        <v>1194</v>
      </c>
      <c r="V243" s="113">
        <v>335</v>
      </c>
      <c r="W243" s="113">
        <f t="shared" si="65"/>
        <v>399990</v>
      </c>
      <c r="X243" s="99" t="s">
        <v>749</v>
      </c>
      <c r="AI243" t="s">
        <v>4061</v>
      </c>
      <c r="AJ243" s="114">
        <f>AJ240-AJ239</f>
        <v>3158506029.4806328</v>
      </c>
      <c r="AN243" t="s">
        <v>25</v>
      </c>
    </row>
    <row r="244" spans="16:43">
      <c r="Q244" s="99" t="s">
        <v>4805</v>
      </c>
      <c r="R244" s="95">
        <v>-2194100</v>
      </c>
      <c r="T244" s="213" t="s">
        <v>5021</v>
      </c>
      <c r="U244" s="213">
        <v>433</v>
      </c>
      <c r="V244" s="113">
        <v>345.68</v>
      </c>
      <c r="W244" s="113">
        <f t="shared" si="65"/>
        <v>149679.44</v>
      </c>
      <c r="X244" s="99" t="s">
        <v>749</v>
      </c>
      <c r="AM244" t="s">
        <v>25</v>
      </c>
    </row>
    <row r="245" spans="16:43">
      <c r="Q245" s="99" t="s">
        <v>4842</v>
      </c>
      <c r="R245" s="95">
        <v>20193916</v>
      </c>
      <c r="T245" s="213" t="s">
        <v>5025</v>
      </c>
      <c r="U245" s="213">
        <v>55459</v>
      </c>
      <c r="V245" s="113">
        <v>362.51978000000003</v>
      </c>
      <c r="W245" s="113">
        <f t="shared" si="65"/>
        <v>20104984.479020003</v>
      </c>
      <c r="X245" s="99" t="s">
        <v>452</v>
      </c>
      <c r="AJ245" t="s">
        <v>25</v>
      </c>
    </row>
    <row r="246" spans="16:43">
      <c r="Q246" s="99" t="s">
        <v>4916</v>
      </c>
      <c r="R246" s="95">
        <v>-2000000</v>
      </c>
      <c r="T246" s="213" t="s">
        <v>5029</v>
      </c>
      <c r="U246" s="213">
        <v>-57212</v>
      </c>
      <c r="V246" s="113">
        <v>368.45400000000001</v>
      </c>
      <c r="W246" s="113">
        <f t="shared" si="65"/>
        <v>-21079990.248</v>
      </c>
      <c r="X246" s="99" t="s">
        <v>452</v>
      </c>
    </row>
    <row r="247" spans="16:43">
      <c r="Q247" s="99" t="s">
        <v>4988</v>
      </c>
      <c r="R247" s="95">
        <v>6800000</v>
      </c>
      <c r="S247" t="s">
        <v>25</v>
      </c>
      <c r="T247" s="213" t="s">
        <v>5030</v>
      </c>
      <c r="U247" s="213">
        <v>-15881</v>
      </c>
      <c r="V247" s="113">
        <v>374.61599999999999</v>
      </c>
      <c r="W247" s="113">
        <f t="shared" si="65"/>
        <v>-5949276.6959999995</v>
      </c>
      <c r="X247" s="99" t="s">
        <v>452</v>
      </c>
    </row>
    <row r="248" spans="16:43">
      <c r="P248" t="s">
        <v>25</v>
      </c>
      <c r="Q248" s="99" t="s">
        <v>4997</v>
      </c>
      <c r="R248" s="95">
        <v>850000</v>
      </c>
      <c r="T248" s="213" t="s">
        <v>5036</v>
      </c>
      <c r="U248" s="213">
        <v>-41289</v>
      </c>
      <c r="V248" s="113">
        <v>372.27</v>
      </c>
      <c r="W248" s="113">
        <f t="shared" si="65"/>
        <v>-15370656.029999999</v>
      </c>
      <c r="X248" s="99" t="s">
        <v>452</v>
      </c>
    </row>
    <row r="249" spans="16:43">
      <c r="Q249" s="99" t="s">
        <v>5006</v>
      </c>
      <c r="R249" s="95">
        <v>2290500</v>
      </c>
      <c r="T249" s="213" t="s">
        <v>5042</v>
      </c>
      <c r="U249" s="213">
        <v>13563</v>
      </c>
      <c r="V249" s="113">
        <v>365.69799999999998</v>
      </c>
      <c r="W249" s="113">
        <f t="shared" si="65"/>
        <v>4959961.9739999995</v>
      </c>
      <c r="X249" s="99" t="s">
        <v>452</v>
      </c>
      <c r="AP249" t="s">
        <v>25</v>
      </c>
    </row>
    <row r="250" spans="16:43">
      <c r="Q250" s="99" t="s">
        <v>5014</v>
      </c>
      <c r="R250" s="95">
        <v>400000</v>
      </c>
      <c r="S250" t="s">
        <v>25</v>
      </c>
      <c r="T250" s="213" t="s">
        <v>5042</v>
      </c>
      <c r="U250" s="213">
        <v>27344</v>
      </c>
      <c r="V250" s="113">
        <v>365.69799999999998</v>
      </c>
      <c r="W250" s="113">
        <f t="shared" si="65"/>
        <v>9999646.1119999997</v>
      </c>
      <c r="X250" s="99" t="s">
        <v>452</v>
      </c>
      <c r="Y250" t="s">
        <v>25</v>
      </c>
      <c r="AH250" s="99" t="s">
        <v>3637</v>
      </c>
      <c r="AI250" s="99" t="s">
        <v>180</v>
      </c>
      <c r="AJ250" s="99" t="s">
        <v>267</v>
      </c>
      <c r="AK250" s="99" t="s">
        <v>4054</v>
      </c>
      <c r="AL250" s="99" t="s">
        <v>4046</v>
      </c>
      <c r="AM250" s="99" t="s">
        <v>282</v>
      </c>
      <c r="AN250" s="99" t="s">
        <v>4283</v>
      </c>
    </row>
    <row r="251" spans="16:43" ht="30">
      <c r="Q251" s="99" t="s">
        <v>5021</v>
      </c>
      <c r="R251" s="95">
        <v>150000</v>
      </c>
      <c r="T251" s="213" t="s">
        <v>5049</v>
      </c>
      <c r="U251" s="213">
        <v>-103145</v>
      </c>
      <c r="V251" s="113">
        <v>393.334</v>
      </c>
      <c r="W251" s="113">
        <f t="shared" si="65"/>
        <v>-40570435.43</v>
      </c>
      <c r="X251" s="36" t="s">
        <v>5054</v>
      </c>
      <c r="Y251" t="s">
        <v>25</v>
      </c>
      <c r="AH251" s="99">
        <v>1</v>
      </c>
      <c r="AI251" s="99" t="s">
        <v>3945</v>
      </c>
      <c r="AJ251" s="117">
        <v>3555820</v>
      </c>
      <c r="AK251" s="99">
        <v>2</v>
      </c>
      <c r="AL251" s="99">
        <f>AK251+AL252</f>
        <v>655</v>
      </c>
      <c r="AM251" s="99">
        <f>AJ251*AL251</f>
        <v>2329062100</v>
      </c>
      <c r="AN251" s="99" t="s">
        <v>4303</v>
      </c>
    </row>
    <row r="252" spans="16:43">
      <c r="Q252" s="99" t="s">
        <v>5049</v>
      </c>
      <c r="R252" s="95">
        <v>-144950</v>
      </c>
      <c r="T252" s="213" t="s">
        <v>5049</v>
      </c>
      <c r="U252" s="213">
        <v>-369</v>
      </c>
      <c r="V252" s="113">
        <v>393.334</v>
      </c>
      <c r="W252" s="113">
        <f t="shared" si="65"/>
        <v>-145140.24600000001</v>
      </c>
      <c r="X252" s="36" t="s">
        <v>5131</v>
      </c>
      <c r="AH252" s="99">
        <v>2</v>
      </c>
      <c r="AI252" s="99" t="s">
        <v>4020</v>
      </c>
      <c r="AJ252" s="117">
        <v>1720837</v>
      </c>
      <c r="AK252" s="99">
        <v>51</v>
      </c>
      <c r="AL252" s="99">
        <f t="shared" ref="AL252:AL261" si="85">AK252+AL253</f>
        <v>653</v>
      </c>
      <c r="AM252" s="99">
        <f t="shared" ref="AM252:AM280" si="86">AJ252*AL252</f>
        <v>1123706561</v>
      </c>
      <c r="AN252" s="99" t="s">
        <v>4304</v>
      </c>
    </row>
    <row r="253" spans="16:43">
      <c r="Q253" s="99" t="s">
        <v>5078</v>
      </c>
      <c r="R253" s="95">
        <v>320000</v>
      </c>
      <c r="T253" s="213" t="s">
        <v>5049</v>
      </c>
      <c r="U253" s="213">
        <v>-889</v>
      </c>
      <c r="V253" s="113">
        <v>393.334</v>
      </c>
      <c r="W253" s="113">
        <f t="shared" si="65"/>
        <v>-349673.92599999998</v>
      </c>
      <c r="X253" s="36" t="s">
        <v>5132</v>
      </c>
      <c r="AH253" s="99">
        <v>3</v>
      </c>
      <c r="AI253" s="99" t="s">
        <v>4126</v>
      </c>
      <c r="AJ253" s="117">
        <v>150000</v>
      </c>
      <c r="AK253" s="99">
        <v>3</v>
      </c>
      <c r="AL253" s="99">
        <f t="shared" si="85"/>
        <v>602</v>
      </c>
      <c r="AM253" s="99">
        <f t="shared" si="86"/>
        <v>90300000</v>
      </c>
      <c r="AN253" s="99"/>
      <c r="AQ253" t="s">
        <v>25</v>
      </c>
    </row>
    <row r="254" spans="16:43">
      <c r="Q254" s="99" t="s">
        <v>5082</v>
      </c>
      <c r="R254" s="95">
        <v>500000</v>
      </c>
      <c r="S254" t="s">
        <v>25</v>
      </c>
      <c r="T254" s="213" t="s">
        <v>5058</v>
      </c>
      <c r="U254" s="213">
        <v>2546</v>
      </c>
      <c r="V254" s="113">
        <v>393</v>
      </c>
      <c r="W254" s="113">
        <f t="shared" si="65"/>
        <v>1000578</v>
      </c>
      <c r="X254" s="36" t="s">
        <v>452</v>
      </c>
      <c r="AH254" s="99">
        <v>4</v>
      </c>
      <c r="AI254" s="99" t="s">
        <v>4141</v>
      </c>
      <c r="AJ254" s="117">
        <v>-95000</v>
      </c>
      <c r="AK254" s="99">
        <v>8</v>
      </c>
      <c r="AL254" s="99">
        <f t="shared" si="85"/>
        <v>599</v>
      </c>
      <c r="AM254" s="99">
        <f t="shared" si="86"/>
        <v>-56905000</v>
      </c>
      <c r="AN254" s="99"/>
    </row>
    <row r="255" spans="16:43">
      <c r="Q255" s="99" t="s">
        <v>5127</v>
      </c>
      <c r="R255" s="95">
        <v>400000</v>
      </c>
      <c r="S255" t="s">
        <v>25</v>
      </c>
      <c r="T255" s="213" t="s">
        <v>5059</v>
      </c>
      <c r="U255" s="213">
        <v>1034</v>
      </c>
      <c r="V255" s="113">
        <v>386.608</v>
      </c>
      <c r="W255" s="113">
        <f t="shared" si="65"/>
        <v>399752.67200000002</v>
      </c>
      <c r="X255" s="36" t="s">
        <v>452</v>
      </c>
      <c r="AH255" s="99">
        <v>5</v>
      </c>
      <c r="AI255" s="99" t="s">
        <v>4166</v>
      </c>
      <c r="AJ255" s="117">
        <v>3150000</v>
      </c>
      <c r="AK255" s="99">
        <v>16</v>
      </c>
      <c r="AL255" s="99">
        <f t="shared" si="85"/>
        <v>591</v>
      </c>
      <c r="AM255" s="99">
        <f t="shared" si="86"/>
        <v>1861650000</v>
      </c>
      <c r="AN255" s="99"/>
    </row>
    <row r="256" spans="16:43">
      <c r="Q256" s="99" t="s">
        <v>5130</v>
      </c>
      <c r="R256" s="95">
        <v>50000</v>
      </c>
      <c r="S256" t="s">
        <v>25</v>
      </c>
      <c r="T256" s="213" t="s">
        <v>5066</v>
      </c>
      <c r="U256" s="213">
        <v>300</v>
      </c>
      <c r="V256" s="113">
        <v>400</v>
      </c>
      <c r="W256" s="113">
        <f t="shared" si="65"/>
        <v>120000</v>
      </c>
      <c r="X256" s="36" t="s">
        <v>452</v>
      </c>
      <c r="AH256" s="99">
        <v>6</v>
      </c>
      <c r="AI256" s="99" t="s">
        <v>4231</v>
      </c>
      <c r="AJ256" s="117">
        <v>-65000</v>
      </c>
      <c r="AK256" s="99">
        <v>1</v>
      </c>
      <c r="AL256" s="99">
        <f t="shared" si="85"/>
        <v>575</v>
      </c>
      <c r="AM256" s="99">
        <f t="shared" si="86"/>
        <v>-37375000</v>
      </c>
      <c r="AN256" s="99"/>
    </row>
    <row r="257" spans="17:45">
      <c r="Q257" s="99" t="s">
        <v>5140</v>
      </c>
      <c r="R257" s="95">
        <v>300000</v>
      </c>
      <c r="T257" s="213" t="s">
        <v>5078</v>
      </c>
      <c r="U257" s="213">
        <v>782</v>
      </c>
      <c r="V257" s="113">
        <v>409</v>
      </c>
      <c r="W257" s="113">
        <f t="shared" si="65"/>
        <v>319838</v>
      </c>
      <c r="X257" s="36" t="s">
        <v>749</v>
      </c>
      <c r="AH257" s="99">
        <v>7</v>
      </c>
      <c r="AI257" s="99" t="s">
        <v>4305</v>
      </c>
      <c r="AJ257" s="117">
        <v>-95000</v>
      </c>
      <c r="AK257" s="99">
        <v>6</v>
      </c>
      <c r="AL257" s="99">
        <f t="shared" si="85"/>
        <v>574</v>
      </c>
      <c r="AM257" s="99">
        <f t="shared" si="86"/>
        <v>-54530000</v>
      </c>
      <c r="AN257" s="99"/>
    </row>
    <row r="258" spans="17:45">
      <c r="Q258" s="99" t="s">
        <v>5166</v>
      </c>
      <c r="R258" s="95">
        <v>250000</v>
      </c>
      <c r="T258" s="213" t="s">
        <v>5082</v>
      </c>
      <c r="U258" s="213">
        <v>1220</v>
      </c>
      <c r="V258" s="113">
        <v>409.9</v>
      </c>
      <c r="W258" s="113">
        <f t="shared" si="65"/>
        <v>500078</v>
      </c>
      <c r="X258" s="36" t="s">
        <v>749</v>
      </c>
      <c r="Z258" t="s">
        <v>25</v>
      </c>
      <c r="AH258" s="99">
        <v>8</v>
      </c>
      <c r="AI258" s="99" t="s">
        <v>4306</v>
      </c>
      <c r="AJ258" s="117">
        <v>232000</v>
      </c>
      <c r="AK258" s="99">
        <v>7</v>
      </c>
      <c r="AL258" s="99">
        <f t="shared" si="85"/>
        <v>568</v>
      </c>
      <c r="AM258" s="99">
        <f t="shared" si="86"/>
        <v>131776000</v>
      </c>
      <c r="AN258" s="99"/>
    </row>
    <row r="259" spans="17:45">
      <c r="Q259" s="99" t="s">
        <v>5201</v>
      </c>
      <c r="R259" s="95">
        <v>200000</v>
      </c>
      <c r="T259" s="213" t="s">
        <v>5084</v>
      </c>
      <c r="U259" s="213">
        <v>1285</v>
      </c>
      <c r="V259" s="113">
        <v>388.84</v>
      </c>
      <c r="W259" s="113">
        <f t="shared" si="65"/>
        <v>499659.39999999997</v>
      </c>
      <c r="X259" s="36" t="s">
        <v>452</v>
      </c>
      <c r="AH259" s="99">
        <v>9</v>
      </c>
      <c r="AI259" s="99" t="s">
        <v>4282</v>
      </c>
      <c r="AJ259" s="117">
        <v>13000000</v>
      </c>
      <c r="AK259" s="99">
        <v>2</v>
      </c>
      <c r="AL259" s="99">
        <f t="shared" si="85"/>
        <v>561</v>
      </c>
      <c r="AM259" s="99">
        <f t="shared" si="86"/>
        <v>7293000000</v>
      </c>
      <c r="AN259" s="99"/>
    </row>
    <row r="260" spans="17:45">
      <c r="Q260" s="99" t="s">
        <v>5236</v>
      </c>
      <c r="R260" s="95">
        <v>122000</v>
      </c>
      <c r="T260" s="213" t="s">
        <v>5071</v>
      </c>
      <c r="U260" s="213">
        <v>1924</v>
      </c>
      <c r="V260" s="113">
        <v>386.69600000000003</v>
      </c>
      <c r="W260" s="113">
        <f t="shared" si="65"/>
        <v>744003.10400000005</v>
      </c>
      <c r="X260" s="36" t="s">
        <v>452</v>
      </c>
      <c r="AH260" s="99">
        <v>10</v>
      </c>
      <c r="AI260" s="99" t="s">
        <v>4307</v>
      </c>
      <c r="AJ260" s="117">
        <v>10000000</v>
      </c>
      <c r="AK260" s="99">
        <v>3</v>
      </c>
      <c r="AL260" s="99">
        <f t="shared" si="85"/>
        <v>559</v>
      </c>
      <c r="AM260" s="99">
        <f t="shared" si="86"/>
        <v>5590000000</v>
      </c>
      <c r="AN260" s="99"/>
    </row>
    <row r="261" spans="17:45">
      <c r="Q261" s="99" t="s">
        <v>5244</v>
      </c>
      <c r="R261" s="95">
        <v>200000</v>
      </c>
      <c r="S261" t="s">
        <v>25</v>
      </c>
      <c r="T261" s="213" t="s">
        <v>5100</v>
      </c>
      <c r="U261" s="213">
        <v>165</v>
      </c>
      <c r="V261" s="113">
        <v>393.5</v>
      </c>
      <c r="W261" s="113">
        <f t="shared" si="65"/>
        <v>64927.5</v>
      </c>
      <c r="X261" s="36" t="s">
        <v>452</v>
      </c>
      <c r="AH261" s="99">
        <v>11</v>
      </c>
      <c r="AI261" s="99" t="s">
        <v>4295</v>
      </c>
      <c r="AJ261" s="117">
        <v>3400000</v>
      </c>
      <c r="AK261" s="99">
        <v>9</v>
      </c>
      <c r="AL261" s="99">
        <f t="shared" si="85"/>
        <v>556</v>
      </c>
      <c r="AM261" s="99">
        <f t="shared" si="86"/>
        <v>1890400000</v>
      </c>
      <c r="AN261" s="99"/>
    </row>
    <row r="262" spans="17:45" ht="30">
      <c r="Q262" s="99" t="s">
        <v>5256</v>
      </c>
      <c r="R262" s="95">
        <v>60000</v>
      </c>
      <c r="T262" s="213" t="s">
        <v>5106</v>
      </c>
      <c r="U262" s="213">
        <v>-34859</v>
      </c>
      <c r="V262" s="113">
        <v>403.1585</v>
      </c>
      <c r="W262" s="113">
        <f t="shared" si="65"/>
        <v>-14053702.1515</v>
      </c>
      <c r="X262" s="36" t="s">
        <v>5109</v>
      </c>
      <c r="AH262" s="99">
        <v>12</v>
      </c>
      <c r="AI262" s="99" t="s">
        <v>4336</v>
      </c>
      <c r="AJ262" s="117">
        <v>-8736514</v>
      </c>
      <c r="AK262" s="99">
        <v>1</v>
      </c>
      <c r="AL262" s="99">
        <f>AK262+AL263</f>
        <v>547</v>
      </c>
      <c r="AM262" s="99">
        <f t="shared" si="86"/>
        <v>-4778873158</v>
      </c>
      <c r="AN262" s="99"/>
    </row>
    <row r="263" spans="17:45">
      <c r="Q263" s="99" t="s">
        <v>5318</v>
      </c>
      <c r="R263" s="95">
        <v>-200000</v>
      </c>
      <c r="S263" t="s">
        <v>25</v>
      </c>
      <c r="T263" s="213" t="s">
        <v>5072</v>
      </c>
      <c r="U263" s="213">
        <v>8476</v>
      </c>
      <c r="V263" s="113">
        <v>419.49900000000002</v>
      </c>
      <c r="W263" s="113">
        <f t="shared" si="65"/>
        <v>3555673.5240000002</v>
      </c>
      <c r="X263" s="36" t="s">
        <v>5115</v>
      </c>
      <c r="AH263" s="99">
        <v>13</v>
      </c>
      <c r="AI263" s="99" t="s">
        <v>4337</v>
      </c>
      <c r="AJ263" s="117">
        <v>555000</v>
      </c>
      <c r="AK263" s="99">
        <v>5</v>
      </c>
      <c r="AL263" s="99">
        <f t="shared" ref="AL263:AL279" si="87">AK263+AL264</f>
        <v>546</v>
      </c>
      <c r="AM263" s="99">
        <f t="shared" si="86"/>
        <v>303030000</v>
      </c>
      <c r="AN263" s="99"/>
    </row>
    <row r="264" spans="17:45">
      <c r="Q264" s="99" t="s">
        <v>5397</v>
      </c>
      <c r="R264" s="95">
        <v>-9000000</v>
      </c>
      <c r="T264" s="213" t="s">
        <v>5127</v>
      </c>
      <c r="U264" s="213">
        <v>903</v>
      </c>
      <c r="V264" s="113">
        <v>442.77379999999999</v>
      </c>
      <c r="W264" s="113">
        <f t="shared" si="65"/>
        <v>399824.7414</v>
      </c>
      <c r="X264" s="36" t="s">
        <v>749</v>
      </c>
      <c r="AH264" s="99">
        <v>14</v>
      </c>
      <c r="AI264" s="99" t="s">
        <v>4361</v>
      </c>
      <c r="AJ264" s="117">
        <v>-448308</v>
      </c>
      <c r="AK264" s="99">
        <v>6</v>
      </c>
      <c r="AL264" s="99">
        <f t="shared" si="87"/>
        <v>541</v>
      </c>
      <c r="AM264" s="99">
        <f t="shared" si="86"/>
        <v>-242534628</v>
      </c>
      <c r="AN264" s="99"/>
    </row>
    <row r="265" spans="17:45">
      <c r="Q265" s="99" t="s">
        <v>5461</v>
      </c>
      <c r="R265" s="95">
        <v>-26000000</v>
      </c>
      <c r="T265" s="213" t="s">
        <v>5130</v>
      </c>
      <c r="U265" s="213">
        <v>113</v>
      </c>
      <c r="V265" s="113">
        <v>442.48200000000003</v>
      </c>
      <c r="W265" s="113">
        <f t="shared" ref="W265:W331" si="88">U265*V265</f>
        <v>50000.466</v>
      </c>
      <c r="X265" s="36" t="s">
        <v>749</v>
      </c>
      <c r="AH265" s="99">
        <v>15</v>
      </c>
      <c r="AI265" s="99" t="s">
        <v>4391</v>
      </c>
      <c r="AJ265" s="117">
        <v>33225</v>
      </c>
      <c r="AK265" s="99">
        <v>0</v>
      </c>
      <c r="AL265" s="99">
        <f t="shared" si="87"/>
        <v>535</v>
      </c>
      <c r="AM265" s="99">
        <f t="shared" si="86"/>
        <v>17775375</v>
      </c>
      <c r="AN265" s="99"/>
    </row>
    <row r="266" spans="17:45">
      <c r="Q266" s="99" t="s">
        <v>5467</v>
      </c>
      <c r="R266" s="95">
        <v>-95900000</v>
      </c>
      <c r="T266" s="213" t="s">
        <v>5140</v>
      </c>
      <c r="U266" s="213">
        <v>671</v>
      </c>
      <c r="V266" s="113">
        <v>447</v>
      </c>
      <c r="W266" s="113">
        <f t="shared" si="88"/>
        <v>299937</v>
      </c>
      <c r="X266" s="36" t="s">
        <v>749</v>
      </c>
      <c r="AH266" s="149">
        <v>16</v>
      </c>
      <c r="AI266" s="149" t="s">
        <v>4391</v>
      </c>
      <c r="AJ266" s="188">
        <v>4098523</v>
      </c>
      <c r="AK266" s="149">
        <v>2</v>
      </c>
      <c r="AL266" s="149">
        <f t="shared" si="87"/>
        <v>535</v>
      </c>
      <c r="AM266" s="149">
        <f t="shared" si="86"/>
        <v>2192709805</v>
      </c>
      <c r="AN266" s="149" t="s">
        <v>655</v>
      </c>
    </row>
    <row r="267" spans="17:45">
      <c r="Q267" s="99" t="s">
        <v>5468</v>
      </c>
      <c r="R267" s="95">
        <v>-28950000</v>
      </c>
      <c r="S267" t="s">
        <v>25</v>
      </c>
      <c r="T267" s="213" t="s">
        <v>5142</v>
      </c>
      <c r="U267" s="213">
        <v>7</v>
      </c>
      <c r="V267" s="113">
        <v>465.31200000000001</v>
      </c>
      <c r="W267" s="113">
        <f t="shared" si="88"/>
        <v>3257.1840000000002</v>
      </c>
      <c r="X267" s="36" t="s">
        <v>452</v>
      </c>
      <c r="Y267" t="s">
        <v>25</v>
      </c>
      <c r="AH267" s="149">
        <v>17</v>
      </c>
      <c r="AI267" s="149" t="s">
        <v>4404</v>
      </c>
      <c r="AJ267" s="188">
        <v>-1000000</v>
      </c>
      <c r="AK267" s="149">
        <v>7</v>
      </c>
      <c r="AL267" s="149">
        <f t="shared" si="87"/>
        <v>533</v>
      </c>
      <c r="AM267" s="149">
        <f t="shared" si="86"/>
        <v>-533000000</v>
      </c>
      <c r="AN267" s="149" t="s">
        <v>655</v>
      </c>
      <c r="AS267" t="s">
        <v>25</v>
      </c>
    </row>
    <row r="268" spans="17:45">
      <c r="Q268" s="99"/>
      <c r="R268" s="95"/>
      <c r="S268" t="s">
        <v>25</v>
      </c>
      <c r="T268" s="213" t="s">
        <v>5148</v>
      </c>
      <c r="U268" s="213">
        <v>12950</v>
      </c>
      <c r="V268" s="113">
        <v>463.31599999999997</v>
      </c>
      <c r="W268" s="113">
        <f t="shared" si="88"/>
        <v>5999942.1999999993</v>
      </c>
      <c r="X268" s="36" t="s">
        <v>452</v>
      </c>
      <c r="AA268" t="s">
        <v>25</v>
      </c>
      <c r="AH268" s="149">
        <v>18</v>
      </c>
      <c r="AI268" s="149" t="s">
        <v>4424</v>
      </c>
      <c r="AJ268" s="188">
        <v>750000</v>
      </c>
      <c r="AK268" s="149">
        <v>1</v>
      </c>
      <c r="AL268" s="149">
        <f t="shared" si="87"/>
        <v>526</v>
      </c>
      <c r="AM268" s="149">
        <f t="shared" si="86"/>
        <v>394500000</v>
      </c>
      <c r="AN268" s="149" t="s">
        <v>655</v>
      </c>
    </row>
    <row r="269" spans="17:45">
      <c r="Q269" s="99"/>
      <c r="R269" s="95"/>
      <c r="T269" s="213" t="s">
        <v>5151</v>
      </c>
      <c r="U269" s="213">
        <v>37</v>
      </c>
      <c r="V269" s="113">
        <v>463.315</v>
      </c>
      <c r="W269" s="113">
        <f t="shared" si="88"/>
        <v>17142.654999999999</v>
      </c>
      <c r="X269" s="36" t="s">
        <v>452</v>
      </c>
      <c r="AH269" s="195">
        <v>19</v>
      </c>
      <c r="AI269" s="195" t="s">
        <v>4426</v>
      </c>
      <c r="AJ269" s="196">
        <v>-604152</v>
      </c>
      <c r="AK269" s="195">
        <v>0</v>
      </c>
      <c r="AL269" s="195">
        <f t="shared" si="87"/>
        <v>525</v>
      </c>
      <c r="AM269" s="195">
        <f t="shared" si="86"/>
        <v>-317179800</v>
      </c>
      <c r="AN269" s="195" t="s">
        <v>655</v>
      </c>
    </row>
    <row r="270" spans="17:45">
      <c r="Q270" s="99"/>
      <c r="R270" s="95">
        <f>SUM(R224:R269)</f>
        <v>276933825</v>
      </c>
      <c r="T270" s="213" t="s">
        <v>5152</v>
      </c>
      <c r="U270" s="213">
        <v>19</v>
      </c>
      <c r="V270" s="113">
        <v>434.3</v>
      </c>
      <c r="W270" s="113">
        <f t="shared" si="88"/>
        <v>8251.7000000000007</v>
      </c>
      <c r="X270" s="36" t="s">
        <v>452</v>
      </c>
      <c r="AH270" s="99">
        <v>20</v>
      </c>
      <c r="AI270" s="99" t="s">
        <v>4427</v>
      </c>
      <c r="AJ270" s="117">
        <v>-587083</v>
      </c>
      <c r="AK270" s="99">
        <v>4</v>
      </c>
      <c r="AL270" s="99">
        <f t="shared" si="87"/>
        <v>525</v>
      </c>
      <c r="AM270" s="99">
        <f t="shared" si="86"/>
        <v>-308218575</v>
      </c>
      <c r="AN270" s="99"/>
    </row>
    <row r="271" spans="17:45">
      <c r="Q271" s="99"/>
      <c r="R271" s="99" t="s">
        <v>6</v>
      </c>
      <c r="T271" s="213" t="s">
        <v>5154</v>
      </c>
      <c r="U271" s="213">
        <v>16</v>
      </c>
      <c r="V271" s="113">
        <v>439</v>
      </c>
      <c r="W271" s="113">
        <f t="shared" si="88"/>
        <v>7024</v>
      </c>
      <c r="X271" s="36" t="s">
        <v>452</v>
      </c>
      <c r="AH271" s="195">
        <v>21</v>
      </c>
      <c r="AI271" s="195" t="s">
        <v>4428</v>
      </c>
      <c r="AJ271" s="196">
        <v>-754351</v>
      </c>
      <c r="AK271" s="195">
        <v>0</v>
      </c>
      <c r="AL271" s="149">
        <f t="shared" si="87"/>
        <v>521</v>
      </c>
      <c r="AM271" s="195">
        <f t="shared" si="86"/>
        <v>-393016871</v>
      </c>
      <c r="AN271" s="195" t="s">
        <v>655</v>
      </c>
      <c r="AR271" t="s">
        <v>25</v>
      </c>
    </row>
    <row r="272" spans="17:45" ht="45">
      <c r="R272" t="s">
        <v>25</v>
      </c>
      <c r="T272" s="213" t="s">
        <v>5154</v>
      </c>
      <c r="U272" s="213">
        <v>9191</v>
      </c>
      <c r="V272" s="113">
        <v>440.24630000000002</v>
      </c>
      <c r="W272" s="113">
        <f t="shared" si="88"/>
        <v>4046303.7433000002</v>
      </c>
      <c r="X272" s="36" t="s">
        <v>5155</v>
      </c>
      <c r="AH272" s="99">
        <v>22</v>
      </c>
      <c r="AI272" s="99" t="s">
        <v>4428</v>
      </c>
      <c r="AJ272" s="117">
        <v>-189619</v>
      </c>
      <c r="AK272" s="99">
        <v>15</v>
      </c>
      <c r="AL272" s="99">
        <f t="shared" si="87"/>
        <v>521</v>
      </c>
      <c r="AM272" s="99">
        <f t="shared" si="86"/>
        <v>-98791499</v>
      </c>
      <c r="AN272" s="99"/>
    </row>
    <row r="273" spans="15:40">
      <c r="S273" t="s">
        <v>25</v>
      </c>
      <c r="T273" s="213" t="s">
        <v>5157</v>
      </c>
      <c r="U273" s="213">
        <v>-8792</v>
      </c>
      <c r="V273" s="113">
        <v>441.90665999999999</v>
      </c>
      <c r="W273" s="113">
        <f t="shared" si="88"/>
        <v>-3885243.3547199997</v>
      </c>
      <c r="X273" s="36" t="s">
        <v>5158</v>
      </c>
      <c r="Y273" t="s">
        <v>25</v>
      </c>
      <c r="AH273" s="195">
        <v>23</v>
      </c>
      <c r="AI273" s="195" t="s">
        <v>4499</v>
      </c>
      <c r="AJ273" s="188">
        <v>7100</v>
      </c>
      <c r="AK273" s="195">
        <v>0</v>
      </c>
      <c r="AL273" s="149">
        <f t="shared" si="87"/>
        <v>506</v>
      </c>
      <c r="AM273" s="195">
        <f t="shared" si="86"/>
        <v>3592600</v>
      </c>
      <c r="AN273" s="195" t="s">
        <v>655</v>
      </c>
    </row>
    <row r="274" spans="15:40">
      <c r="Q274" s="99" t="s">
        <v>452</v>
      </c>
      <c r="R274" s="99"/>
      <c r="T274" s="189" t="s">
        <v>5161</v>
      </c>
      <c r="U274" s="189">
        <v>24374</v>
      </c>
      <c r="V274" s="188">
        <v>471.81700000000001</v>
      </c>
      <c r="W274" s="188">
        <f t="shared" si="88"/>
        <v>11500067.558</v>
      </c>
      <c r="X274" s="279" t="s">
        <v>5164</v>
      </c>
      <c r="Y274" t="s">
        <v>25</v>
      </c>
      <c r="AH274" s="20">
        <v>24</v>
      </c>
      <c r="AI274" s="20" t="s">
        <v>4499</v>
      </c>
      <c r="AJ274" s="117">
        <v>-147902</v>
      </c>
      <c r="AK274" s="20">
        <v>3</v>
      </c>
      <c r="AL274" s="99">
        <f t="shared" si="87"/>
        <v>506</v>
      </c>
      <c r="AM274" s="20">
        <f t="shared" si="86"/>
        <v>-74838412</v>
      </c>
      <c r="AN274" s="20"/>
    </row>
    <row r="275" spans="15:40">
      <c r="Q275" s="99" t="s">
        <v>4428</v>
      </c>
      <c r="R275" s="95">
        <v>63115000</v>
      </c>
      <c r="T275" s="213" t="s">
        <v>5166</v>
      </c>
      <c r="U275" s="213">
        <v>530</v>
      </c>
      <c r="V275" s="113">
        <v>472</v>
      </c>
      <c r="W275" s="113">
        <f t="shared" si="88"/>
        <v>250160</v>
      </c>
      <c r="X275" s="36" t="s">
        <v>749</v>
      </c>
      <c r="AH275" s="149">
        <v>25</v>
      </c>
      <c r="AI275" s="149" t="s">
        <v>4507</v>
      </c>
      <c r="AJ275" s="188">
        <v>-37200</v>
      </c>
      <c r="AK275" s="149">
        <v>4</v>
      </c>
      <c r="AL275" s="149">
        <f t="shared" si="87"/>
        <v>503</v>
      </c>
      <c r="AM275" s="195">
        <f t="shared" si="86"/>
        <v>-18711600</v>
      </c>
      <c r="AN275" s="149" t="s">
        <v>655</v>
      </c>
    </row>
    <row r="276" spans="15:40" ht="30">
      <c r="Q276" s="99" t="s">
        <v>4481</v>
      </c>
      <c r="R276" s="95">
        <v>13300000</v>
      </c>
      <c r="T276" s="213" t="s">
        <v>5166</v>
      </c>
      <c r="U276" s="213">
        <v>12</v>
      </c>
      <c r="V276" s="113">
        <v>481.86</v>
      </c>
      <c r="W276" s="113">
        <f t="shared" si="88"/>
        <v>5782.32</v>
      </c>
      <c r="X276" s="36" t="s">
        <v>5168</v>
      </c>
      <c r="AH276" s="99">
        <v>26</v>
      </c>
      <c r="AI276" s="99" t="s">
        <v>4538</v>
      </c>
      <c r="AJ276" s="117">
        <v>-372326</v>
      </c>
      <c r="AK276" s="99">
        <v>21</v>
      </c>
      <c r="AL276" s="99">
        <f t="shared" si="87"/>
        <v>499</v>
      </c>
      <c r="AM276" s="20">
        <f t="shared" si="86"/>
        <v>-185790674</v>
      </c>
      <c r="AN276" s="99"/>
    </row>
    <row r="277" spans="15:40">
      <c r="Q277" s="99" t="s">
        <v>4489</v>
      </c>
      <c r="R277" s="95">
        <v>2269000</v>
      </c>
      <c r="T277" s="189" t="s">
        <v>5191</v>
      </c>
      <c r="U277" s="189">
        <v>12330</v>
      </c>
      <c r="V277" s="188">
        <v>486.63443869999998</v>
      </c>
      <c r="W277" s="188">
        <f t="shared" si="88"/>
        <v>6000202.6291709999</v>
      </c>
      <c r="X277" s="279" t="s">
        <v>5164</v>
      </c>
      <c r="AH277" s="99">
        <v>27</v>
      </c>
      <c r="AI277" s="99" t="s">
        <v>4589</v>
      </c>
      <c r="AJ277" s="117">
        <v>235062</v>
      </c>
      <c r="AK277" s="99">
        <v>0</v>
      </c>
      <c r="AL277" s="99">
        <f t="shared" si="87"/>
        <v>478</v>
      </c>
      <c r="AM277" s="20">
        <f t="shared" si="86"/>
        <v>112359636</v>
      </c>
      <c r="AN277" s="99"/>
    </row>
    <row r="278" spans="15:40">
      <c r="Q278" s="99" t="s">
        <v>4602</v>
      </c>
      <c r="R278" s="95">
        <v>25071612</v>
      </c>
      <c r="T278" s="213" t="s">
        <v>5193</v>
      </c>
      <c r="U278" s="213">
        <v>846</v>
      </c>
      <c r="V278" s="113">
        <v>472.7</v>
      </c>
      <c r="W278" s="113">
        <f t="shared" si="88"/>
        <v>399904.2</v>
      </c>
      <c r="X278" s="36" t="s">
        <v>452</v>
      </c>
      <c r="AH278" s="149">
        <v>28</v>
      </c>
      <c r="AI278" s="149" t="s">
        <v>4589</v>
      </c>
      <c r="AJ278" s="188">
        <v>235062</v>
      </c>
      <c r="AK278" s="149">
        <v>9</v>
      </c>
      <c r="AL278" s="99">
        <f t="shared" si="87"/>
        <v>478</v>
      </c>
      <c r="AM278" s="149">
        <f t="shared" si="86"/>
        <v>112359636</v>
      </c>
      <c r="AN278" s="149" t="s">
        <v>655</v>
      </c>
    </row>
    <row r="279" spans="15:40">
      <c r="Q279" s="99" t="s">
        <v>4611</v>
      </c>
      <c r="R279" s="95">
        <v>42236984</v>
      </c>
      <c r="T279" s="189" t="s">
        <v>5193</v>
      </c>
      <c r="U279" s="189">
        <v>3173</v>
      </c>
      <c r="V279" s="188">
        <v>472.7</v>
      </c>
      <c r="W279" s="188">
        <f t="shared" si="88"/>
        <v>1499877.0999999999</v>
      </c>
      <c r="X279" s="279" t="s">
        <v>5329</v>
      </c>
      <c r="AH279" s="149">
        <v>29</v>
      </c>
      <c r="AI279" s="149" t="s">
        <v>4612</v>
      </c>
      <c r="AJ279" s="188">
        <v>450000</v>
      </c>
      <c r="AK279" s="149">
        <v>0</v>
      </c>
      <c r="AL279" s="99">
        <f t="shared" si="87"/>
        <v>469</v>
      </c>
      <c r="AM279" s="149">
        <f t="shared" si="86"/>
        <v>211050000</v>
      </c>
      <c r="AN279" s="149" t="s">
        <v>655</v>
      </c>
    </row>
    <row r="280" spans="15:40">
      <c r="O280" t="s">
        <v>25</v>
      </c>
      <c r="Q280" s="99" t="s">
        <v>4612</v>
      </c>
      <c r="R280" s="95">
        <v>19663646</v>
      </c>
      <c r="T280" s="213" t="s">
        <v>5197</v>
      </c>
      <c r="U280" s="213">
        <v>191</v>
      </c>
      <c r="V280" s="113">
        <v>484.572</v>
      </c>
      <c r="W280" s="113">
        <f t="shared" si="88"/>
        <v>92553.252000000008</v>
      </c>
      <c r="X280" s="36" t="s">
        <v>5198</v>
      </c>
      <c r="AH280" s="20">
        <v>30</v>
      </c>
      <c r="AI280" s="20" t="s">
        <v>4612</v>
      </c>
      <c r="AJ280" s="117">
        <v>450000</v>
      </c>
      <c r="AK280" s="20">
        <v>22</v>
      </c>
      <c r="AL280" s="99">
        <f>AK280+AL281</f>
        <v>469</v>
      </c>
      <c r="AM280" s="20">
        <f t="shared" si="86"/>
        <v>211050000</v>
      </c>
      <c r="AN280" s="20"/>
    </row>
    <row r="281" spans="15:40">
      <c r="Q281" s="99" t="s">
        <v>4635</v>
      </c>
      <c r="R281" s="95">
        <v>4374525</v>
      </c>
      <c r="T281" s="213" t="s">
        <v>5197</v>
      </c>
      <c r="U281" s="213">
        <v>-206</v>
      </c>
      <c r="V281" s="113">
        <v>484.572</v>
      </c>
      <c r="W281" s="113">
        <f t="shared" si="88"/>
        <v>-99821.831999999995</v>
      </c>
      <c r="X281" s="36" t="s">
        <v>5200</v>
      </c>
      <c r="AH281" s="149">
        <v>31</v>
      </c>
      <c r="AI281" s="149" t="s">
        <v>4678</v>
      </c>
      <c r="AJ281" s="188">
        <v>300000</v>
      </c>
      <c r="AK281" s="149">
        <v>0</v>
      </c>
      <c r="AL281" s="149">
        <f t="shared" ref="AL281:AL296" si="89">AK281+AL282</f>
        <v>447</v>
      </c>
      <c r="AM281" s="149">
        <f t="shared" ref="AM281:AM284" si="90">AJ281*AL281</f>
        <v>134100000</v>
      </c>
      <c r="AN281" s="149"/>
    </row>
    <row r="282" spans="15:40" ht="30">
      <c r="Q282" s="99" t="s">
        <v>4646</v>
      </c>
      <c r="R282" s="95">
        <v>6550580</v>
      </c>
      <c r="T282" s="213" t="s">
        <v>5201</v>
      </c>
      <c r="U282" s="213">
        <v>20685</v>
      </c>
      <c r="V282" s="113">
        <v>483.43312200000003</v>
      </c>
      <c r="W282" s="113">
        <f t="shared" si="88"/>
        <v>9999814.1285699997</v>
      </c>
      <c r="X282" s="36" t="s">
        <v>5203</v>
      </c>
      <c r="AH282" s="121">
        <v>32</v>
      </c>
      <c r="AI282" s="121" t="s">
        <v>4678</v>
      </c>
      <c r="AJ282" s="79">
        <v>288936</v>
      </c>
      <c r="AK282" s="121">
        <v>3</v>
      </c>
      <c r="AL282" s="121">
        <f t="shared" si="89"/>
        <v>447</v>
      </c>
      <c r="AM282" s="121">
        <f t="shared" si="90"/>
        <v>129154392</v>
      </c>
      <c r="AN282" s="205" t="s">
        <v>4689</v>
      </c>
    </row>
    <row r="283" spans="15:40">
      <c r="Q283" s="99" t="s">
        <v>4648</v>
      </c>
      <c r="R283" s="95">
        <v>7054895</v>
      </c>
      <c r="T283" s="213" t="s">
        <v>5201</v>
      </c>
      <c r="U283" s="213">
        <v>-413</v>
      </c>
      <c r="V283" s="113">
        <v>483.40199999999999</v>
      </c>
      <c r="W283" s="113">
        <f t="shared" si="88"/>
        <v>-199645.02599999998</v>
      </c>
      <c r="X283" s="36" t="s">
        <v>4435</v>
      </c>
      <c r="AH283" s="121">
        <v>33</v>
      </c>
      <c r="AI283" s="121" t="s">
        <v>4687</v>
      </c>
      <c r="AJ283" s="79">
        <v>17962491</v>
      </c>
      <c r="AK283" s="121">
        <v>1</v>
      </c>
      <c r="AL283" s="121">
        <f t="shared" si="89"/>
        <v>444</v>
      </c>
      <c r="AM283" s="121">
        <f t="shared" si="90"/>
        <v>7975346004</v>
      </c>
      <c r="AN283" s="121" t="s">
        <v>4694</v>
      </c>
    </row>
    <row r="284" spans="15:40">
      <c r="Q284" s="99" t="s">
        <v>4665</v>
      </c>
      <c r="R284" s="95">
        <v>2145814</v>
      </c>
      <c r="T284" s="213" t="s">
        <v>5201</v>
      </c>
      <c r="U284" s="213">
        <v>413</v>
      </c>
      <c r="V284" s="113">
        <v>483.40199999999999</v>
      </c>
      <c r="W284" s="113">
        <f t="shared" si="88"/>
        <v>199645.02599999998</v>
      </c>
      <c r="X284" s="36" t="s">
        <v>749</v>
      </c>
      <c r="AH284" s="121">
        <v>34</v>
      </c>
      <c r="AI284" s="121" t="s">
        <v>3680</v>
      </c>
      <c r="AJ284" s="79">
        <v>18363511</v>
      </c>
      <c r="AK284" s="121">
        <v>1</v>
      </c>
      <c r="AL284" s="121">
        <f t="shared" si="89"/>
        <v>443</v>
      </c>
      <c r="AM284" s="121">
        <f t="shared" si="90"/>
        <v>8135035373</v>
      </c>
      <c r="AN284" s="121" t="s">
        <v>4694</v>
      </c>
    </row>
    <row r="285" spans="15:40">
      <c r="Q285" s="99" t="s">
        <v>4676</v>
      </c>
      <c r="R285" s="95">
        <v>4369730</v>
      </c>
      <c r="T285" s="213" t="s">
        <v>5206</v>
      </c>
      <c r="U285" s="213">
        <v>-828</v>
      </c>
      <c r="V285" s="113">
        <v>483.43312200000003</v>
      </c>
      <c r="W285" s="113">
        <f t="shared" si="88"/>
        <v>-400282.62501600001</v>
      </c>
      <c r="X285" s="36" t="s">
        <v>452</v>
      </c>
      <c r="AH285" s="121">
        <v>35</v>
      </c>
      <c r="AI285" s="121" t="s">
        <v>4699</v>
      </c>
      <c r="AJ285" s="79">
        <v>23622417</v>
      </c>
      <c r="AK285" s="121">
        <v>5</v>
      </c>
      <c r="AL285" s="121">
        <f t="shared" si="89"/>
        <v>442</v>
      </c>
      <c r="AM285" s="121">
        <f t="shared" ref="AM285:AM288" si="91">AJ285*AL285</f>
        <v>10441108314</v>
      </c>
      <c r="AN285" s="121" t="s">
        <v>4701</v>
      </c>
    </row>
    <row r="286" spans="15:40">
      <c r="Q286" s="99" t="s">
        <v>4678</v>
      </c>
      <c r="R286" s="95">
        <v>8739459</v>
      </c>
      <c r="T286" s="213" t="s">
        <v>5209</v>
      </c>
      <c r="U286" s="213">
        <v>12</v>
      </c>
      <c r="V286" s="113">
        <v>473.61898300000001</v>
      </c>
      <c r="W286" s="113">
        <f t="shared" si="88"/>
        <v>5683.4277959999999</v>
      </c>
      <c r="X286" s="36" t="s">
        <v>452</v>
      </c>
      <c r="AH286" s="121">
        <v>36</v>
      </c>
      <c r="AI286" s="121" t="s">
        <v>4714</v>
      </c>
      <c r="AJ286" s="79">
        <v>82496108</v>
      </c>
      <c r="AK286" s="121">
        <v>1</v>
      </c>
      <c r="AL286" s="121">
        <f t="shared" si="89"/>
        <v>437</v>
      </c>
      <c r="AM286" s="121">
        <f t="shared" si="91"/>
        <v>36050799196</v>
      </c>
      <c r="AN286" s="121" t="s">
        <v>4717</v>
      </c>
    </row>
    <row r="287" spans="15:40">
      <c r="Q287" s="99" t="s">
        <v>4687</v>
      </c>
      <c r="R287" s="95">
        <v>6667654</v>
      </c>
      <c r="T287" s="213" t="s">
        <v>5212</v>
      </c>
      <c r="U287" s="213">
        <v>963</v>
      </c>
      <c r="V287" s="113">
        <v>477.92200000000003</v>
      </c>
      <c r="W287" s="113">
        <f t="shared" si="88"/>
        <v>460238.886</v>
      </c>
      <c r="X287" s="36" t="s">
        <v>452</v>
      </c>
      <c r="AH287" s="121">
        <v>37</v>
      </c>
      <c r="AI287" s="121" t="s">
        <v>4716</v>
      </c>
      <c r="AJ287" s="79">
        <v>74657561</v>
      </c>
      <c r="AK287" s="121">
        <v>16</v>
      </c>
      <c r="AL287" s="121">
        <f t="shared" si="89"/>
        <v>436</v>
      </c>
      <c r="AM287" s="121">
        <f t="shared" si="91"/>
        <v>32550696596</v>
      </c>
      <c r="AN287" s="121" t="s">
        <v>4722</v>
      </c>
    </row>
    <row r="288" spans="15:40">
      <c r="Q288" s="99" t="s">
        <v>3680</v>
      </c>
      <c r="R288" s="95">
        <v>8981245</v>
      </c>
      <c r="T288" s="213" t="s">
        <v>5213</v>
      </c>
      <c r="U288" s="213">
        <v>2815</v>
      </c>
      <c r="V288" s="113">
        <v>461.79</v>
      </c>
      <c r="W288" s="113">
        <f t="shared" si="88"/>
        <v>1299938.8500000001</v>
      </c>
      <c r="X288" s="36" t="s">
        <v>452</v>
      </c>
      <c r="AH288" s="99">
        <v>38</v>
      </c>
      <c r="AI288" s="99" t="s">
        <v>4791</v>
      </c>
      <c r="AJ288" s="117">
        <v>665000</v>
      </c>
      <c r="AK288" s="99">
        <v>0</v>
      </c>
      <c r="AL288" s="99">
        <f t="shared" si="89"/>
        <v>420</v>
      </c>
      <c r="AM288" s="20">
        <f t="shared" si="91"/>
        <v>279300000</v>
      </c>
      <c r="AN288" s="99"/>
    </row>
    <row r="289" spans="16:44">
      <c r="Q289" s="99" t="s">
        <v>4699</v>
      </c>
      <c r="R289" s="95">
        <v>9181756</v>
      </c>
      <c r="T289" s="213" t="s">
        <v>5213</v>
      </c>
      <c r="U289" s="213">
        <v>1581</v>
      </c>
      <c r="V289" s="113">
        <v>461.79</v>
      </c>
      <c r="W289" s="113">
        <f t="shared" si="88"/>
        <v>730089.99</v>
      </c>
      <c r="X289" s="36" t="s">
        <v>452</v>
      </c>
      <c r="AH289" s="149">
        <v>39</v>
      </c>
      <c r="AI289" s="149" t="s">
        <v>4791</v>
      </c>
      <c r="AJ289" s="188">
        <v>665000</v>
      </c>
      <c r="AK289" s="149">
        <v>4</v>
      </c>
      <c r="AL289" s="195">
        <f t="shared" si="89"/>
        <v>420</v>
      </c>
      <c r="AM289" s="195">
        <f t="shared" ref="AM289:AM290" si="92">AJ289*AL289</f>
        <v>279300000</v>
      </c>
      <c r="AN289" s="195"/>
    </row>
    <row r="290" spans="16:44">
      <c r="Q290" s="99" t="s">
        <v>4702</v>
      </c>
      <c r="R290" s="95">
        <v>11811208</v>
      </c>
      <c r="T290" s="189" t="s">
        <v>5221</v>
      </c>
      <c r="U290" s="189">
        <v>1916</v>
      </c>
      <c r="V290" s="188">
        <v>521.70000000000005</v>
      </c>
      <c r="W290" s="188">
        <f t="shared" si="88"/>
        <v>999577.20000000007</v>
      </c>
      <c r="X290" s="279" t="s">
        <v>5329</v>
      </c>
      <c r="AH290" s="20">
        <v>40</v>
      </c>
      <c r="AI290" s="20" t="s">
        <v>4800</v>
      </c>
      <c r="AJ290" s="117">
        <v>2000000</v>
      </c>
      <c r="AK290" s="20">
        <v>1</v>
      </c>
      <c r="AL290" s="99">
        <f t="shared" si="89"/>
        <v>416</v>
      </c>
      <c r="AM290" s="20">
        <f t="shared" si="92"/>
        <v>832000000</v>
      </c>
      <c r="AN290" s="99"/>
    </row>
    <row r="291" spans="16:44">
      <c r="Q291" s="99" t="s">
        <v>4716</v>
      </c>
      <c r="R291" s="95">
        <v>41248054</v>
      </c>
      <c r="T291" s="213" t="s">
        <v>989</v>
      </c>
      <c r="U291" s="213">
        <v>41</v>
      </c>
      <c r="V291" s="113">
        <v>514.48099999999999</v>
      </c>
      <c r="W291" s="113">
        <f t="shared" si="88"/>
        <v>21093.721000000001</v>
      </c>
      <c r="X291" s="36" t="s">
        <v>5198</v>
      </c>
      <c r="AH291" s="20">
        <v>41</v>
      </c>
      <c r="AI291" s="20" t="s">
        <v>4805</v>
      </c>
      <c r="AJ291" s="117">
        <v>-2060725</v>
      </c>
      <c r="AK291" s="20">
        <v>0</v>
      </c>
      <c r="AL291" s="99">
        <f t="shared" si="89"/>
        <v>415</v>
      </c>
      <c r="AM291" s="20">
        <f t="shared" ref="AM291:AM296" si="93">AJ291*AL291</f>
        <v>-855200875</v>
      </c>
      <c r="AN291" s="99" t="s">
        <v>4806</v>
      </c>
    </row>
    <row r="292" spans="16:44">
      <c r="Q292" s="99" t="s">
        <v>4723</v>
      </c>
      <c r="R292" s="95">
        <v>37328780</v>
      </c>
      <c r="T292" s="213" t="s">
        <v>4271</v>
      </c>
      <c r="U292" s="213">
        <v>71</v>
      </c>
      <c r="V292" s="113">
        <v>482.57</v>
      </c>
      <c r="W292" s="113">
        <f t="shared" si="88"/>
        <v>34262.47</v>
      </c>
      <c r="X292" s="36" t="s">
        <v>5198</v>
      </c>
      <c r="AH292" s="149">
        <v>42</v>
      </c>
      <c r="AI292" s="149" t="s">
        <v>4805</v>
      </c>
      <c r="AJ292" s="188">
        <v>-433375</v>
      </c>
      <c r="AK292" s="149">
        <v>0</v>
      </c>
      <c r="AL292" s="149">
        <f t="shared" si="89"/>
        <v>415</v>
      </c>
      <c r="AM292" s="149">
        <f t="shared" si="93"/>
        <v>-179850625</v>
      </c>
      <c r="AN292" s="149" t="s">
        <v>4807</v>
      </c>
    </row>
    <row r="293" spans="16:44">
      <c r="Q293" s="99" t="s">
        <v>4729</v>
      </c>
      <c r="R293" s="95">
        <v>50000000</v>
      </c>
      <c r="T293" s="213" t="s">
        <v>5236</v>
      </c>
      <c r="U293" s="213">
        <v>-250</v>
      </c>
      <c r="V293" s="113">
        <v>487.125</v>
      </c>
      <c r="W293" s="113">
        <f t="shared" si="88"/>
        <v>-121781.25</v>
      </c>
      <c r="X293" s="36" t="s">
        <v>4435</v>
      </c>
      <c r="AH293" s="20">
        <v>43</v>
      </c>
      <c r="AI293" s="20" t="s">
        <v>4805</v>
      </c>
      <c r="AJ293" s="117">
        <v>28000000</v>
      </c>
      <c r="AK293" s="20">
        <v>1</v>
      </c>
      <c r="AL293" s="99">
        <f t="shared" si="89"/>
        <v>415</v>
      </c>
      <c r="AM293" s="20">
        <f t="shared" si="93"/>
        <v>11620000000</v>
      </c>
      <c r="AN293" s="99" t="s">
        <v>3887</v>
      </c>
    </row>
    <row r="294" spans="16:44">
      <c r="P294" t="s">
        <v>25</v>
      </c>
      <c r="Q294" s="99" t="s">
        <v>4791</v>
      </c>
      <c r="R294" s="95">
        <v>68656</v>
      </c>
      <c r="T294" s="213" t="s">
        <v>5236</v>
      </c>
      <c r="U294" s="213">
        <v>250</v>
      </c>
      <c r="V294" s="113">
        <v>487.125</v>
      </c>
      <c r="W294" s="113">
        <f t="shared" si="88"/>
        <v>121781.25</v>
      </c>
      <c r="X294" s="36" t="s">
        <v>749</v>
      </c>
      <c r="AH294" s="20">
        <v>44</v>
      </c>
      <c r="AI294" s="20" t="s">
        <v>4814</v>
      </c>
      <c r="AJ294" s="117">
        <v>160000</v>
      </c>
      <c r="AK294" s="20">
        <v>0</v>
      </c>
      <c r="AL294" s="99">
        <f t="shared" si="89"/>
        <v>414</v>
      </c>
      <c r="AM294" s="20">
        <f t="shared" si="93"/>
        <v>66240000</v>
      </c>
      <c r="AN294" s="99"/>
    </row>
    <row r="295" spans="16:44">
      <c r="Q295" s="99" t="s">
        <v>4800</v>
      </c>
      <c r="R295" s="95">
        <v>4000236</v>
      </c>
      <c r="T295" s="213" t="s">
        <v>5244</v>
      </c>
      <c r="U295" s="213">
        <v>-1439</v>
      </c>
      <c r="V295" s="113">
        <v>486.53068999999999</v>
      </c>
      <c r="W295" s="113">
        <f t="shared" si="88"/>
        <v>-700117.66290999996</v>
      </c>
      <c r="X295" s="36" t="s">
        <v>4435</v>
      </c>
      <c r="AH295" s="149">
        <v>45</v>
      </c>
      <c r="AI295" s="149" t="s">
        <v>4814</v>
      </c>
      <c r="AJ295" s="188">
        <v>70000</v>
      </c>
      <c r="AK295" s="149">
        <v>9</v>
      </c>
      <c r="AL295" s="149">
        <f t="shared" si="89"/>
        <v>414</v>
      </c>
      <c r="AM295" s="149">
        <f t="shared" si="93"/>
        <v>28980000</v>
      </c>
      <c r="AN295" s="149"/>
    </row>
    <row r="296" spans="16:44">
      <c r="Q296" s="99" t="s">
        <v>4800</v>
      </c>
      <c r="R296" s="95">
        <v>2250000</v>
      </c>
      <c r="T296" s="213" t="s">
        <v>5244</v>
      </c>
      <c r="U296" s="213">
        <v>411</v>
      </c>
      <c r="V296" s="113">
        <v>486.53068999999999</v>
      </c>
      <c r="W296" s="113">
        <f t="shared" si="88"/>
        <v>199964.11358999999</v>
      </c>
      <c r="X296" s="36" t="s">
        <v>749</v>
      </c>
      <c r="AH296" s="20">
        <v>46</v>
      </c>
      <c r="AI296" s="20" t="s">
        <v>4821</v>
      </c>
      <c r="AJ296" s="117">
        <v>850000</v>
      </c>
      <c r="AK296" s="20">
        <v>0</v>
      </c>
      <c r="AL296" s="99">
        <f t="shared" si="89"/>
        <v>405</v>
      </c>
      <c r="AM296" s="20">
        <f t="shared" si="93"/>
        <v>344250000</v>
      </c>
      <c r="AN296" s="99"/>
    </row>
    <row r="297" spans="16:44">
      <c r="Q297" s="99" t="s">
        <v>4805</v>
      </c>
      <c r="R297" s="95">
        <v>-2512200</v>
      </c>
      <c r="T297" s="213" t="s">
        <v>5211</v>
      </c>
      <c r="U297" s="213">
        <v>-4290</v>
      </c>
      <c r="V297" s="113">
        <v>497.57670000000002</v>
      </c>
      <c r="W297" s="113">
        <f t="shared" si="88"/>
        <v>-2134604.0430000001</v>
      </c>
      <c r="X297" s="36" t="s">
        <v>452</v>
      </c>
      <c r="AH297" s="195">
        <v>47</v>
      </c>
      <c r="AI297" s="195" t="s">
        <v>4821</v>
      </c>
      <c r="AJ297" s="196">
        <v>20000</v>
      </c>
      <c r="AK297" s="195">
        <v>4</v>
      </c>
      <c r="AL297" s="195">
        <f t="shared" ref="AL297:AL305" si="94">AK297+AL298</f>
        <v>405</v>
      </c>
      <c r="AM297" s="195">
        <f t="shared" ref="AM297:AM305" si="95">AJ297*AL297</f>
        <v>8100000</v>
      </c>
      <c r="AN297" s="195"/>
    </row>
    <row r="298" spans="16:44">
      <c r="Q298" s="99" t="s">
        <v>4814</v>
      </c>
      <c r="R298" s="95">
        <v>300000</v>
      </c>
      <c r="T298" s="213" t="s">
        <v>5253</v>
      </c>
      <c r="U298" s="213">
        <v>-644</v>
      </c>
      <c r="V298" s="113">
        <v>494.76464499999997</v>
      </c>
      <c r="W298" s="113">
        <f t="shared" si="88"/>
        <v>-318628.43137999997</v>
      </c>
      <c r="X298" s="36" t="s">
        <v>452</v>
      </c>
      <c r="AH298" s="195">
        <v>48</v>
      </c>
      <c r="AI298" s="195" t="s">
        <v>4834</v>
      </c>
      <c r="AJ298" s="196">
        <v>30000000</v>
      </c>
      <c r="AK298" s="195">
        <v>27</v>
      </c>
      <c r="AL298" s="195">
        <f t="shared" si="94"/>
        <v>401</v>
      </c>
      <c r="AM298" s="195">
        <f t="shared" si="95"/>
        <v>12030000000</v>
      </c>
      <c r="AN298" s="195" t="s">
        <v>4835</v>
      </c>
    </row>
    <row r="299" spans="16:44">
      <c r="Q299" s="99" t="s">
        <v>978</v>
      </c>
      <c r="R299" s="95">
        <v>1100000</v>
      </c>
      <c r="S299" s="114"/>
      <c r="T299" s="213" t="s">
        <v>5256</v>
      </c>
      <c r="U299" s="213">
        <v>-112</v>
      </c>
      <c r="V299" s="113">
        <v>485.78</v>
      </c>
      <c r="W299" s="113">
        <f t="shared" si="88"/>
        <v>-54407.360000000001</v>
      </c>
      <c r="X299" s="36" t="s">
        <v>452</v>
      </c>
      <c r="AH299" s="20">
        <v>49</v>
      </c>
      <c r="AI299" s="20" t="s">
        <v>4910</v>
      </c>
      <c r="AJ299" s="117">
        <v>1100000</v>
      </c>
      <c r="AK299" s="20">
        <v>1</v>
      </c>
      <c r="AL299" s="20">
        <f t="shared" si="94"/>
        <v>374</v>
      </c>
      <c r="AM299" s="20">
        <f t="shared" si="95"/>
        <v>411400000</v>
      </c>
      <c r="AN299" s="20"/>
    </row>
    <row r="300" spans="16:44">
      <c r="Q300" s="99" t="s">
        <v>4821</v>
      </c>
      <c r="R300" s="95">
        <v>890000</v>
      </c>
      <c r="T300" s="213" t="s">
        <v>5256</v>
      </c>
      <c r="U300" s="213">
        <v>123</v>
      </c>
      <c r="V300" s="113">
        <v>485.78</v>
      </c>
      <c r="W300" s="113">
        <f t="shared" si="88"/>
        <v>59750.939999999995</v>
      </c>
      <c r="X300" s="36" t="s">
        <v>749</v>
      </c>
      <c r="AH300" s="20">
        <v>50</v>
      </c>
      <c r="AI300" s="20" t="s">
        <v>4912</v>
      </c>
      <c r="AJ300" s="117">
        <v>450000</v>
      </c>
      <c r="AK300" s="20">
        <v>0</v>
      </c>
      <c r="AL300" s="20">
        <f t="shared" si="94"/>
        <v>373</v>
      </c>
      <c r="AM300" s="20">
        <f t="shared" si="95"/>
        <v>167850000</v>
      </c>
      <c r="AN300" s="20"/>
      <c r="AR300" t="s">
        <v>25</v>
      </c>
    </row>
    <row r="301" spans="16:44">
      <c r="Q301" s="99" t="s">
        <v>4841</v>
      </c>
      <c r="R301" s="95">
        <v>1000000</v>
      </c>
      <c r="T301" s="213" t="s">
        <v>5256</v>
      </c>
      <c r="U301" s="213">
        <v>-123</v>
      </c>
      <c r="V301" s="113">
        <v>485.78</v>
      </c>
      <c r="W301" s="113">
        <f t="shared" si="88"/>
        <v>-59750.939999999995</v>
      </c>
      <c r="X301" s="36" t="s">
        <v>4435</v>
      </c>
      <c r="AH301" s="149">
        <v>51</v>
      </c>
      <c r="AI301" s="149" t="s">
        <v>4912</v>
      </c>
      <c r="AJ301" s="188">
        <v>550000</v>
      </c>
      <c r="AK301" s="149">
        <v>1</v>
      </c>
      <c r="AL301" s="149">
        <f t="shared" si="94"/>
        <v>373</v>
      </c>
      <c r="AM301" s="149">
        <f t="shared" si="95"/>
        <v>205150000</v>
      </c>
      <c r="AN301" s="149"/>
    </row>
    <row r="302" spans="16:44">
      <c r="Q302" s="99" t="s">
        <v>4842</v>
      </c>
      <c r="R302" s="95">
        <v>45436311</v>
      </c>
      <c r="T302" s="213" t="s">
        <v>5302</v>
      </c>
      <c r="U302" s="213">
        <v>32367</v>
      </c>
      <c r="V302" s="113">
        <v>556.12900000000002</v>
      </c>
      <c r="W302" s="113">
        <f t="shared" si="88"/>
        <v>18000227.343000002</v>
      </c>
      <c r="X302" s="36" t="s">
        <v>452</v>
      </c>
      <c r="Y302" t="s">
        <v>25</v>
      </c>
      <c r="AH302" s="149">
        <v>52</v>
      </c>
      <c r="AI302" s="149" t="s">
        <v>4914</v>
      </c>
      <c r="AJ302" s="188">
        <v>1000000</v>
      </c>
      <c r="AK302" s="149">
        <v>8</v>
      </c>
      <c r="AL302" s="149">
        <f t="shared" si="94"/>
        <v>372</v>
      </c>
      <c r="AM302" s="149">
        <f t="shared" si="95"/>
        <v>372000000</v>
      </c>
      <c r="AN302" s="149"/>
    </row>
    <row r="303" spans="16:44">
      <c r="Q303" s="99" t="s">
        <v>4842</v>
      </c>
      <c r="R303" s="95">
        <v>-3500000</v>
      </c>
      <c r="T303" s="213" t="s">
        <v>5318</v>
      </c>
      <c r="U303" s="213">
        <v>1254</v>
      </c>
      <c r="V303" s="113">
        <v>558.24400000000003</v>
      </c>
      <c r="W303" s="113">
        <f t="shared" si="88"/>
        <v>700037.97600000002</v>
      </c>
      <c r="X303" s="36" t="s">
        <v>4435</v>
      </c>
      <c r="Y303" t="s">
        <v>25</v>
      </c>
      <c r="AH303" s="20">
        <v>53</v>
      </c>
      <c r="AI303" s="20" t="s">
        <v>4924</v>
      </c>
      <c r="AJ303" s="117">
        <v>-2668880</v>
      </c>
      <c r="AK303" s="20">
        <v>0</v>
      </c>
      <c r="AL303" s="20">
        <f t="shared" si="94"/>
        <v>364</v>
      </c>
      <c r="AM303" s="20">
        <f t="shared" si="95"/>
        <v>-971472320</v>
      </c>
      <c r="AN303" s="20" t="s">
        <v>4926</v>
      </c>
    </row>
    <row r="304" spans="16:44">
      <c r="P304" t="s">
        <v>25</v>
      </c>
      <c r="Q304" s="99" t="s">
        <v>4855</v>
      </c>
      <c r="R304" s="95">
        <v>2520000</v>
      </c>
      <c r="T304" s="168" t="s">
        <v>5318</v>
      </c>
      <c r="U304" s="213">
        <v>-358</v>
      </c>
      <c r="V304" s="113">
        <v>558.24400000000003</v>
      </c>
      <c r="W304" s="113">
        <f t="shared" si="88"/>
        <v>-199851.35200000001</v>
      </c>
      <c r="X304" s="36" t="s">
        <v>749</v>
      </c>
      <c r="AH304" s="149">
        <v>54</v>
      </c>
      <c r="AI304" s="149" t="s">
        <v>4924</v>
      </c>
      <c r="AJ304" s="188">
        <v>-1528620</v>
      </c>
      <c r="AK304" s="149">
        <v>0</v>
      </c>
      <c r="AL304" s="149">
        <f t="shared" si="94"/>
        <v>364</v>
      </c>
      <c r="AM304" s="149">
        <f t="shared" si="95"/>
        <v>-556417680</v>
      </c>
      <c r="AN304" s="149" t="s">
        <v>4926</v>
      </c>
    </row>
    <row r="305" spans="16:40">
      <c r="P305" t="s">
        <v>25</v>
      </c>
      <c r="Q305" s="99" t="s">
        <v>4890</v>
      </c>
      <c r="R305" s="95">
        <v>4900000</v>
      </c>
      <c r="T305" s="189" t="s">
        <v>5327</v>
      </c>
      <c r="U305" s="189">
        <v>-3326</v>
      </c>
      <c r="V305" s="188">
        <v>601.39300000000003</v>
      </c>
      <c r="W305" s="188">
        <f t="shared" si="88"/>
        <v>-2000233.118</v>
      </c>
      <c r="X305" s="279" t="s">
        <v>5164</v>
      </c>
      <c r="AH305" s="20">
        <v>55</v>
      </c>
      <c r="AI305" s="20" t="s">
        <v>4924</v>
      </c>
      <c r="AJ305" s="117">
        <v>50000000</v>
      </c>
      <c r="AK305" s="20">
        <v>4</v>
      </c>
      <c r="AL305" s="20">
        <f t="shared" si="94"/>
        <v>364</v>
      </c>
      <c r="AM305" s="20">
        <f t="shared" si="95"/>
        <v>18200000000</v>
      </c>
      <c r="AN305" s="20"/>
    </row>
    <row r="306" spans="16:40">
      <c r="Q306" s="99" t="s">
        <v>4910</v>
      </c>
      <c r="R306" s="95">
        <v>1150000</v>
      </c>
      <c r="T306" s="189" t="s">
        <v>5330</v>
      </c>
      <c r="U306" s="189">
        <v>3326</v>
      </c>
      <c r="V306" s="188">
        <v>601.39300000000003</v>
      </c>
      <c r="W306" s="188">
        <f t="shared" si="88"/>
        <v>2000233.118</v>
      </c>
      <c r="X306" s="279" t="s">
        <v>5164</v>
      </c>
      <c r="AH306" s="20">
        <v>56</v>
      </c>
      <c r="AI306" s="20" t="s">
        <v>4930</v>
      </c>
      <c r="AJ306" s="117">
        <v>400000</v>
      </c>
      <c r="AK306" s="20">
        <v>4</v>
      </c>
      <c r="AL306" s="20">
        <f t="shared" ref="AL306:AL315" si="96">AK306+AL307</f>
        <v>360</v>
      </c>
      <c r="AM306" s="20">
        <f t="shared" ref="AM306:AM315" si="97">AJ306*AL306</f>
        <v>144000000</v>
      </c>
      <c r="AN306" s="20"/>
    </row>
    <row r="307" spans="16:40">
      <c r="Q307" s="99" t="s">
        <v>4862</v>
      </c>
      <c r="R307" s="95">
        <v>250000</v>
      </c>
      <c r="T307" s="189" t="s">
        <v>5343</v>
      </c>
      <c r="U307" s="189">
        <v>63259</v>
      </c>
      <c r="V307" s="188">
        <v>632.31960000000004</v>
      </c>
      <c r="W307" s="188">
        <f t="shared" si="88"/>
        <v>39999905.576400004</v>
      </c>
      <c r="X307" s="279" t="s">
        <v>1083</v>
      </c>
      <c r="AH307" s="20">
        <v>57</v>
      </c>
      <c r="AI307" s="20" t="s">
        <v>4942</v>
      </c>
      <c r="AJ307" s="117">
        <v>2000000</v>
      </c>
      <c r="AK307" s="20">
        <v>3</v>
      </c>
      <c r="AL307" s="20">
        <f t="shared" si="96"/>
        <v>356</v>
      </c>
      <c r="AM307" s="20">
        <f t="shared" si="97"/>
        <v>712000000</v>
      </c>
      <c r="AN307" s="20"/>
    </row>
    <row r="308" spans="16:40">
      <c r="Q308" s="99" t="s">
        <v>4951</v>
      </c>
      <c r="R308" s="95">
        <v>1403460</v>
      </c>
      <c r="T308" s="19" t="s">
        <v>5348</v>
      </c>
      <c r="U308" s="19">
        <v>-1278</v>
      </c>
      <c r="V308" s="117">
        <v>625.98</v>
      </c>
      <c r="W308" s="117">
        <f t="shared" si="88"/>
        <v>-800002.44000000006</v>
      </c>
      <c r="X308" s="280" t="s">
        <v>5349</v>
      </c>
      <c r="AH308" s="20">
        <v>58</v>
      </c>
      <c r="AI308" s="20" t="s">
        <v>4945</v>
      </c>
      <c r="AJ308" s="117">
        <v>100000</v>
      </c>
      <c r="AK308" s="20">
        <v>4</v>
      </c>
      <c r="AL308" s="20">
        <f t="shared" si="96"/>
        <v>353</v>
      </c>
      <c r="AM308" s="20">
        <f t="shared" si="97"/>
        <v>35300000</v>
      </c>
      <c r="AN308" s="20" t="s">
        <v>3887</v>
      </c>
    </row>
    <row r="309" spans="16:40">
      <c r="Q309" s="99" t="s">
        <v>4954</v>
      </c>
      <c r="R309" s="95">
        <v>200000</v>
      </c>
      <c r="T309" s="19" t="s">
        <v>5354</v>
      </c>
      <c r="U309" s="19">
        <v>32049</v>
      </c>
      <c r="V309" s="117">
        <v>624.04600000000005</v>
      </c>
      <c r="W309" s="117">
        <f t="shared" si="88"/>
        <v>20000050.254000001</v>
      </c>
      <c r="X309" s="280" t="s">
        <v>5203</v>
      </c>
      <c r="AH309" s="20">
        <v>59</v>
      </c>
      <c r="AI309" s="20" t="s">
        <v>4954</v>
      </c>
      <c r="AJ309" s="117">
        <v>100000</v>
      </c>
      <c r="AK309" s="20">
        <v>7</v>
      </c>
      <c r="AL309" s="20">
        <f t="shared" si="96"/>
        <v>349</v>
      </c>
      <c r="AM309" s="20">
        <f t="shared" si="97"/>
        <v>34900000</v>
      </c>
      <c r="AN309" s="20"/>
    </row>
    <row r="310" spans="16:40" ht="30">
      <c r="Q310" s="99" t="s">
        <v>4959</v>
      </c>
      <c r="R310" s="95">
        <v>345000</v>
      </c>
      <c r="T310" s="19" t="s">
        <v>5365</v>
      </c>
      <c r="U310" s="19">
        <v>45094</v>
      </c>
      <c r="V310" s="117">
        <v>614.13559759999998</v>
      </c>
      <c r="W310" s="117">
        <f t="shared" si="88"/>
        <v>27693830.6381744</v>
      </c>
      <c r="X310" s="280" t="s">
        <v>5367</v>
      </c>
      <c r="AH310" s="20">
        <v>60</v>
      </c>
      <c r="AI310" s="20" t="s">
        <v>4967</v>
      </c>
      <c r="AJ310" s="117">
        <v>50000</v>
      </c>
      <c r="AK310" s="20">
        <v>0</v>
      </c>
      <c r="AL310" s="20">
        <f t="shared" si="96"/>
        <v>342</v>
      </c>
      <c r="AM310" s="20">
        <f t="shared" si="97"/>
        <v>17100000</v>
      </c>
      <c r="AN310" s="20"/>
    </row>
    <row r="311" spans="16:40" ht="30">
      <c r="Q311" s="99" t="s">
        <v>4964</v>
      </c>
      <c r="R311" s="95">
        <v>900000</v>
      </c>
      <c r="T311" s="19" t="s">
        <v>5397</v>
      </c>
      <c r="U311" s="19">
        <v>-11804</v>
      </c>
      <c r="V311" s="117">
        <v>762.46640000000002</v>
      </c>
      <c r="W311" s="117">
        <f t="shared" si="88"/>
        <v>-9000153.3856000006</v>
      </c>
      <c r="X311" s="280" t="s">
        <v>5399</v>
      </c>
      <c r="AH311" s="149">
        <v>61</v>
      </c>
      <c r="AI311" s="149" t="s">
        <v>4967</v>
      </c>
      <c r="AJ311" s="188">
        <v>50000</v>
      </c>
      <c r="AK311" s="149">
        <v>3</v>
      </c>
      <c r="AL311" s="149">
        <f t="shared" si="96"/>
        <v>342</v>
      </c>
      <c r="AM311" s="149">
        <f t="shared" si="97"/>
        <v>17100000</v>
      </c>
      <c r="AN311" s="149"/>
    </row>
    <row r="312" spans="16:40">
      <c r="Q312" s="99" t="s">
        <v>4967</v>
      </c>
      <c r="R312" s="95">
        <v>372517</v>
      </c>
      <c r="T312" s="19" t="s">
        <v>5442</v>
      </c>
      <c r="U312" s="19">
        <v>844</v>
      </c>
      <c r="V312" s="117">
        <v>830</v>
      </c>
      <c r="W312" s="117">
        <f t="shared" si="88"/>
        <v>700520</v>
      </c>
      <c r="X312" s="280" t="s">
        <v>4435</v>
      </c>
      <c r="AH312" s="20">
        <v>62</v>
      </c>
      <c r="AI312" s="20" t="s">
        <v>4971</v>
      </c>
      <c r="AJ312" s="117">
        <v>50000</v>
      </c>
      <c r="AK312" s="20">
        <v>0</v>
      </c>
      <c r="AL312" s="20">
        <f t="shared" si="96"/>
        <v>339</v>
      </c>
      <c r="AM312" s="20">
        <f t="shared" si="97"/>
        <v>16950000</v>
      </c>
      <c r="AN312" s="20"/>
    </row>
    <row r="313" spans="16:40">
      <c r="Q313" s="99" t="s">
        <v>4977</v>
      </c>
      <c r="R313" s="95">
        <v>6489257</v>
      </c>
      <c r="T313" s="19" t="s">
        <v>5446</v>
      </c>
      <c r="U313" s="19">
        <v>8662</v>
      </c>
      <c r="V313" s="117">
        <v>832.57011999999997</v>
      </c>
      <c r="W313" s="117">
        <f t="shared" si="88"/>
        <v>7211722.3794399993</v>
      </c>
      <c r="X313" s="280" t="s">
        <v>5198</v>
      </c>
      <c r="AH313" s="195">
        <v>63</v>
      </c>
      <c r="AI313" s="195" t="s">
        <v>4971</v>
      </c>
      <c r="AJ313" s="196">
        <v>50000</v>
      </c>
      <c r="AK313" s="195">
        <v>2</v>
      </c>
      <c r="AL313" s="195">
        <f t="shared" si="96"/>
        <v>339</v>
      </c>
      <c r="AM313" s="195">
        <f t="shared" si="97"/>
        <v>16950000</v>
      </c>
      <c r="AN313" s="195"/>
    </row>
    <row r="314" spans="16:40" ht="30">
      <c r="Q314" s="99" t="s">
        <v>5014</v>
      </c>
      <c r="R314" s="95">
        <v>618000</v>
      </c>
      <c r="T314" s="19" t="s">
        <v>5447</v>
      </c>
      <c r="U314" s="19">
        <v>10253</v>
      </c>
      <c r="V314" s="117">
        <v>827.2568</v>
      </c>
      <c r="W314" s="117">
        <f t="shared" si="88"/>
        <v>8481863.9704</v>
      </c>
      <c r="X314" s="280" t="s">
        <v>5454</v>
      </c>
      <c r="AH314" s="20">
        <v>64</v>
      </c>
      <c r="AI314" s="20" t="s">
        <v>4979</v>
      </c>
      <c r="AJ314" s="117">
        <v>25000</v>
      </c>
      <c r="AK314" s="20">
        <v>0</v>
      </c>
      <c r="AL314" s="20">
        <f t="shared" si="96"/>
        <v>337</v>
      </c>
      <c r="AM314" s="20">
        <f t="shared" si="97"/>
        <v>8425000</v>
      </c>
      <c r="AN314" s="20"/>
    </row>
    <row r="315" spans="16:40">
      <c r="Q315" s="99" t="s">
        <v>5025</v>
      </c>
      <c r="R315" s="95">
        <v>20105000</v>
      </c>
      <c r="T315" s="246" t="s">
        <v>5455</v>
      </c>
      <c r="U315" s="246">
        <v>-33077</v>
      </c>
      <c r="V315" s="247">
        <v>786.02973999999995</v>
      </c>
      <c r="W315" s="247">
        <f t="shared" si="88"/>
        <v>-25999505.70998</v>
      </c>
      <c r="X315" s="289" t="s">
        <v>5458</v>
      </c>
      <c r="AH315" s="149">
        <v>65</v>
      </c>
      <c r="AI315" s="149" t="s">
        <v>4979</v>
      </c>
      <c r="AJ315" s="188">
        <v>35000</v>
      </c>
      <c r="AK315" s="149">
        <v>7</v>
      </c>
      <c r="AL315" s="149">
        <f t="shared" si="96"/>
        <v>337</v>
      </c>
      <c r="AM315" s="149">
        <f t="shared" si="97"/>
        <v>11795000</v>
      </c>
      <c r="AN315" s="149"/>
    </row>
    <row r="316" spans="16:40">
      <c r="Q316" s="99" t="s">
        <v>5029</v>
      </c>
      <c r="R316" s="95">
        <v>-21079990</v>
      </c>
      <c r="T316" s="19" t="s">
        <v>5455</v>
      </c>
      <c r="U316" s="19">
        <v>-33077</v>
      </c>
      <c r="V316" s="117">
        <v>786.02973999999995</v>
      </c>
      <c r="W316" s="117">
        <f t="shared" si="88"/>
        <v>-25999505.70998</v>
      </c>
      <c r="X316" s="280" t="s">
        <v>5459</v>
      </c>
      <c r="AH316" s="149">
        <v>66</v>
      </c>
      <c r="AI316" s="149" t="s">
        <v>4988</v>
      </c>
      <c r="AJ316" s="188">
        <v>30000000</v>
      </c>
      <c r="AK316" s="149">
        <v>0</v>
      </c>
      <c r="AL316" s="149">
        <f t="shared" ref="AL316:AL335" si="98">AK316+AL317</f>
        <v>330</v>
      </c>
      <c r="AM316" s="149">
        <f t="shared" ref="AM316:AM335" si="99">AJ316*AL316</f>
        <v>9900000000</v>
      </c>
      <c r="AN316" s="149"/>
    </row>
    <row r="317" spans="16:40">
      <c r="Q317" s="99" t="s">
        <v>5030</v>
      </c>
      <c r="R317" s="95">
        <v>-5949277</v>
      </c>
      <c r="T317" s="19" t="s">
        <v>5455</v>
      </c>
      <c r="U317" s="19">
        <v>1983</v>
      </c>
      <c r="V317" s="117">
        <v>786.02973999999995</v>
      </c>
      <c r="W317" s="117">
        <f t="shared" si="88"/>
        <v>1558696.9744199999</v>
      </c>
      <c r="X317" s="280" t="s">
        <v>5198</v>
      </c>
      <c r="AH317" s="20">
        <v>67</v>
      </c>
      <c r="AI317" s="20" t="s">
        <v>4988</v>
      </c>
      <c r="AJ317" s="117">
        <v>6800000</v>
      </c>
      <c r="AK317" s="20">
        <v>1</v>
      </c>
      <c r="AL317" s="20">
        <f t="shared" si="98"/>
        <v>330</v>
      </c>
      <c r="AM317" s="20">
        <f t="shared" si="99"/>
        <v>2244000000</v>
      </c>
      <c r="AN317" s="20"/>
    </row>
    <row r="318" spans="16:40">
      <c r="Q318" s="99" t="s">
        <v>5036</v>
      </c>
      <c r="R318" s="95">
        <v>-15370656</v>
      </c>
      <c r="T318" s="246" t="s">
        <v>5460</v>
      </c>
      <c r="U318" s="246">
        <v>-119753</v>
      </c>
      <c r="V318" s="247">
        <v>800.81560000000002</v>
      </c>
      <c r="W318" s="247">
        <f t="shared" si="88"/>
        <v>-95900070.546800002</v>
      </c>
      <c r="X318" s="289" t="s">
        <v>5458</v>
      </c>
      <c r="Y318" t="s">
        <v>25</v>
      </c>
      <c r="AH318" s="20">
        <v>68</v>
      </c>
      <c r="AI318" s="20" t="s">
        <v>4991</v>
      </c>
      <c r="AJ318" s="117">
        <v>500000</v>
      </c>
      <c r="AK318" s="20">
        <v>1</v>
      </c>
      <c r="AL318" s="20">
        <f t="shared" si="98"/>
        <v>329</v>
      </c>
      <c r="AM318" s="20">
        <f t="shared" si="99"/>
        <v>164500000</v>
      </c>
      <c r="AN318" s="20"/>
    </row>
    <row r="319" spans="16:40">
      <c r="Q319" s="99" t="s">
        <v>5042</v>
      </c>
      <c r="R319" s="95">
        <v>4960000</v>
      </c>
      <c r="T319" s="19" t="s">
        <v>5460</v>
      </c>
      <c r="U319" s="19">
        <v>-119753</v>
      </c>
      <c r="V319" s="117">
        <v>800.81560000000002</v>
      </c>
      <c r="W319" s="117">
        <f t="shared" si="88"/>
        <v>-95900070.546800002</v>
      </c>
      <c r="X319" s="280" t="s">
        <v>5459</v>
      </c>
      <c r="AH319" s="20">
        <v>69</v>
      </c>
      <c r="AI319" s="20" t="s">
        <v>4997</v>
      </c>
      <c r="AJ319" s="117">
        <v>850000</v>
      </c>
      <c r="AK319" s="20">
        <v>5</v>
      </c>
      <c r="AL319" s="20">
        <f t="shared" si="98"/>
        <v>328</v>
      </c>
      <c r="AM319" s="20">
        <f t="shared" si="99"/>
        <v>278800000</v>
      </c>
      <c r="AN319" s="20"/>
    </row>
    <row r="320" spans="16:40">
      <c r="Q320" s="99" t="s">
        <v>5042</v>
      </c>
      <c r="R320" s="95">
        <v>10000000</v>
      </c>
      <c r="T320" s="19" t="s">
        <v>5460</v>
      </c>
      <c r="U320" s="19">
        <v>11291</v>
      </c>
      <c r="V320" s="117">
        <v>800.81560000000002</v>
      </c>
      <c r="W320" s="117">
        <f t="shared" si="88"/>
        <v>9042008.9396000002</v>
      </c>
      <c r="X320" s="280" t="s">
        <v>452</v>
      </c>
      <c r="AH320" s="20">
        <v>70</v>
      </c>
      <c r="AI320" s="20" t="s">
        <v>5006</v>
      </c>
      <c r="AJ320" s="117">
        <v>1130250</v>
      </c>
      <c r="AK320" s="20">
        <v>0</v>
      </c>
      <c r="AL320" s="20">
        <f t="shared" si="98"/>
        <v>323</v>
      </c>
      <c r="AM320" s="20">
        <f t="shared" si="99"/>
        <v>365070750</v>
      </c>
      <c r="AN320" s="20"/>
    </row>
    <row r="321" spans="17:44">
      <c r="Q321" s="99" t="s">
        <v>5049</v>
      </c>
      <c r="R321" s="95">
        <v>-40570100</v>
      </c>
      <c r="T321" s="189" t="s">
        <v>5461</v>
      </c>
      <c r="U321" s="189">
        <v>-35361</v>
      </c>
      <c r="V321" s="188">
        <v>818.697</v>
      </c>
      <c r="W321" s="188">
        <f t="shared" si="88"/>
        <v>-28949944.616999999</v>
      </c>
      <c r="X321" s="279" t="s">
        <v>5458</v>
      </c>
      <c r="AH321" s="256">
        <v>71</v>
      </c>
      <c r="AI321" s="256" t="s">
        <v>5006</v>
      </c>
      <c r="AJ321" s="247">
        <v>30000</v>
      </c>
      <c r="AK321" s="256">
        <v>5</v>
      </c>
      <c r="AL321" s="256">
        <f t="shared" si="98"/>
        <v>323</v>
      </c>
      <c r="AM321" s="256">
        <f t="shared" si="99"/>
        <v>9690000</v>
      </c>
      <c r="AN321" s="256"/>
    </row>
    <row r="322" spans="17:44">
      <c r="Q322" s="99" t="s">
        <v>5058</v>
      </c>
      <c r="R322" s="95">
        <v>1000000</v>
      </c>
      <c r="T322" s="19" t="s">
        <v>5461</v>
      </c>
      <c r="U322" s="19">
        <v>-35361</v>
      </c>
      <c r="V322" s="117">
        <v>818.697</v>
      </c>
      <c r="W322" s="117">
        <f t="shared" si="88"/>
        <v>-28949944.616999999</v>
      </c>
      <c r="X322" s="280" t="s">
        <v>5459</v>
      </c>
      <c r="AH322" s="20">
        <v>72</v>
      </c>
      <c r="AI322" s="20" t="s">
        <v>5014</v>
      </c>
      <c r="AJ322" s="117">
        <v>206000</v>
      </c>
      <c r="AK322" s="20">
        <v>0</v>
      </c>
      <c r="AL322" s="20">
        <f t="shared" si="98"/>
        <v>318</v>
      </c>
      <c r="AM322" s="20">
        <f t="shared" si="99"/>
        <v>65508000</v>
      </c>
      <c r="AN322" s="20"/>
    </row>
    <row r="323" spans="17:44">
      <c r="Q323" s="99" t="s">
        <v>5059</v>
      </c>
      <c r="R323" s="95">
        <v>400000</v>
      </c>
      <c r="T323" s="19" t="s">
        <v>5461</v>
      </c>
      <c r="U323" s="19">
        <v>116</v>
      </c>
      <c r="V323" s="117">
        <v>818.697</v>
      </c>
      <c r="W323" s="117">
        <f t="shared" si="88"/>
        <v>94968.851999999999</v>
      </c>
      <c r="X323" s="280" t="s">
        <v>5198</v>
      </c>
      <c r="AH323" s="149">
        <v>73</v>
      </c>
      <c r="AI323" s="149" t="s">
        <v>5014</v>
      </c>
      <c r="AJ323" s="188">
        <v>206000</v>
      </c>
      <c r="AK323" s="149">
        <v>2</v>
      </c>
      <c r="AL323" s="149">
        <f t="shared" si="98"/>
        <v>318</v>
      </c>
      <c r="AM323" s="149">
        <f t="shared" si="99"/>
        <v>65508000</v>
      </c>
      <c r="AN323" s="149"/>
    </row>
    <row r="324" spans="17:44">
      <c r="Q324" s="99" t="s">
        <v>5066</v>
      </c>
      <c r="R324" s="95">
        <v>120000</v>
      </c>
      <c r="T324" s="19" t="s">
        <v>5467</v>
      </c>
      <c r="U324" s="19">
        <v>48633</v>
      </c>
      <c r="V324" s="117">
        <v>822.47199999999998</v>
      </c>
      <c r="W324" s="117">
        <f t="shared" si="88"/>
        <v>39999280.776000001</v>
      </c>
      <c r="X324" s="280" t="s">
        <v>5471</v>
      </c>
      <c r="Y324" t="s">
        <v>25</v>
      </c>
      <c r="AH324" s="20">
        <v>74</v>
      </c>
      <c r="AI324" s="20" t="s">
        <v>5021</v>
      </c>
      <c r="AJ324" s="117">
        <v>50000</v>
      </c>
      <c r="AK324" s="20">
        <v>0</v>
      </c>
      <c r="AL324" s="20">
        <f t="shared" si="98"/>
        <v>316</v>
      </c>
      <c r="AM324" s="20">
        <f t="shared" si="99"/>
        <v>15800000</v>
      </c>
      <c r="AN324" s="20"/>
    </row>
    <row r="325" spans="17:44">
      <c r="Q325" s="99" t="s">
        <v>5084</v>
      </c>
      <c r="R325" s="95">
        <v>500000</v>
      </c>
      <c r="T325" s="19" t="s">
        <v>5467</v>
      </c>
      <c r="U325" s="19">
        <v>3412</v>
      </c>
      <c r="V325" s="117">
        <v>822.47199999999998</v>
      </c>
      <c r="W325" s="117">
        <f t="shared" si="88"/>
        <v>2806274.4640000002</v>
      </c>
      <c r="X325" s="280" t="s">
        <v>5473</v>
      </c>
      <c r="AH325" s="256">
        <v>75</v>
      </c>
      <c r="AI325" s="256" t="s">
        <v>5021</v>
      </c>
      <c r="AJ325" s="247">
        <v>50000</v>
      </c>
      <c r="AK325" s="256">
        <v>2</v>
      </c>
      <c r="AL325" s="256">
        <f t="shared" si="98"/>
        <v>316</v>
      </c>
      <c r="AM325" s="256">
        <f t="shared" si="99"/>
        <v>15800000</v>
      </c>
      <c r="AN325" s="256"/>
    </row>
    <row r="326" spans="17:44">
      <c r="Q326" s="99" t="s">
        <v>5071</v>
      </c>
      <c r="R326" s="95">
        <v>744000</v>
      </c>
      <c r="S326" s="114"/>
      <c r="T326" s="19" t="s">
        <v>5468</v>
      </c>
      <c r="U326" s="19">
        <v>1531</v>
      </c>
      <c r="V326" s="117">
        <v>869.82500000000005</v>
      </c>
      <c r="W326" s="117">
        <f t="shared" si="88"/>
        <v>1331702.075</v>
      </c>
      <c r="X326" s="280" t="s">
        <v>5475</v>
      </c>
      <c r="AH326" s="20">
        <v>76</v>
      </c>
      <c r="AI326" s="20" t="s">
        <v>5025</v>
      </c>
      <c r="AJ326" s="117">
        <v>20000000</v>
      </c>
      <c r="AK326" s="20">
        <v>7</v>
      </c>
      <c r="AL326" s="20">
        <f t="shared" si="98"/>
        <v>314</v>
      </c>
      <c r="AM326" s="20">
        <f t="shared" si="99"/>
        <v>6280000000</v>
      </c>
      <c r="AN326" s="20" t="s">
        <v>5026</v>
      </c>
    </row>
    <row r="327" spans="17:44">
      <c r="Q327" s="99" t="s">
        <v>5100</v>
      </c>
      <c r="R327" s="95">
        <v>65000</v>
      </c>
      <c r="T327" s="172" t="s">
        <v>5478</v>
      </c>
      <c r="U327" s="172">
        <v>2394</v>
      </c>
      <c r="V327" s="170">
        <v>835.36580000000004</v>
      </c>
      <c r="W327" s="170">
        <f t="shared" si="88"/>
        <v>1999865.7252</v>
      </c>
      <c r="X327" s="290" t="s">
        <v>5480</v>
      </c>
      <c r="AH327" s="20">
        <v>77</v>
      </c>
      <c r="AI327" s="20" t="s">
        <v>5036</v>
      </c>
      <c r="AJ327" s="117">
        <v>50000</v>
      </c>
      <c r="AK327" s="20">
        <v>0</v>
      </c>
      <c r="AL327" s="20">
        <f t="shared" si="98"/>
        <v>307</v>
      </c>
      <c r="AM327" s="20">
        <f t="shared" si="99"/>
        <v>15350000</v>
      </c>
      <c r="AN327" s="20"/>
    </row>
    <row r="328" spans="17:44">
      <c r="Q328" s="99" t="s">
        <v>5106</v>
      </c>
      <c r="R328" s="95">
        <v>-14053702</v>
      </c>
      <c r="T328" s="19" t="s">
        <v>5478</v>
      </c>
      <c r="U328" s="19">
        <v>1019</v>
      </c>
      <c r="V328" s="117">
        <v>835.36580000000004</v>
      </c>
      <c r="W328" s="117">
        <f t="shared" si="88"/>
        <v>851237.75020000001</v>
      </c>
      <c r="X328" s="280" t="s">
        <v>452</v>
      </c>
      <c r="AH328" s="149">
        <v>78</v>
      </c>
      <c r="AI328" s="149" t="s">
        <v>5036</v>
      </c>
      <c r="AJ328" s="188">
        <v>50000</v>
      </c>
      <c r="AK328" s="149">
        <v>7</v>
      </c>
      <c r="AL328" s="149">
        <f t="shared" si="98"/>
        <v>307</v>
      </c>
      <c r="AM328" s="149">
        <f t="shared" si="99"/>
        <v>15350000</v>
      </c>
      <c r="AN328" s="149"/>
    </row>
    <row r="329" spans="17:44">
      <c r="Q329" s="99" t="s">
        <v>5072</v>
      </c>
      <c r="R329" s="95">
        <v>3555678</v>
      </c>
      <c r="T329" s="189" t="s">
        <v>5484</v>
      </c>
      <c r="U329" s="189">
        <v>2316</v>
      </c>
      <c r="V329" s="188">
        <v>818.697</v>
      </c>
      <c r="W329" s="188">
        <f t="shared" si="88"/>
        <v>1896102.2520000001</v>
      </c>
      <c r="X329" s="279" t="s">
        <v>5487</v>
      </c>
      <c r="AH329" s="20">
        <v>79</v>
      </c>
      <c r="AI329" s="20" t="s">
        <v>5042</v>
      </c>
      <c r="AJ329" s="117">
        <v>2480000</v>
      </c>
      <c r="AK329" s="20">
        <v>0</v>
      </c>
      <c r="AL329" s="20">
        <f t="shared" si="98"/>
        <v>300</v>
      </c>
      <c r="AM329" s="20">
        <f t="shared" si="99"/>
        <v>744000000</v>
      </c>
      <c r="AN329" s="20"/>
    </row>
    <row r="330" spans="17:44">
      <c r="Q330" s="99" t="s">
        <v>5142</v>
      </c>
      <c r="R330" s="95">
        <v>3495</v>
      </c>
      <c r="T330" s="19" t="s">
        <v>5493</v>
      </c>
      <c r="U330" s="19">
        <v>315</v>
      </c>
      <c r="V330" s="117">
        <v>680</v>
      </c>
      <c r="W330" s="117">
        <f t="shared" si="88"/>
        <v>214200</v>
      </c>
      <c r="X330" s="280" t="s">
        <v>5198</v>
      </c>
      <c r="AH330" s="149">
        <v>80</v>
      </c>
      <c r="AI330" s="149" t="s">
        <v>5042</v>
      </c>
      <c r="AJ330" s="188">
        <v>2480000</v>
      </c>
      <c r="AK330" s="149">
        <v>12</v>
      </c>
      <c r="AL330" s="149">
        <f t="shared" si="98"/>
        <v>300</v>
      </c>
      <c r="AM330" s="149">
        <f t="shared" si="99"/>
        <v>744000000</v>
      </c>
      <c r="AN330" s="149"/>
    </row>
    <row r="331" spans="17:44">
      <c r="Q331" s="99" t="s">
        <v>5148</v>
      </c>
      <c r="R331" s="95">
        <v>6000000</v>
      </c>
      <c r="T331" s="19" t="s">
        <v>5520</v>
      </c>
      <c r="U331" s="19">
        <v>832</v>
      </c>
      <c r="V331" s="117">
        <v>784.36500000000001</v>
      </c>
      <c r="W331" s="117">
        <f t="shared" si="88"/>
        <v>652591.68000000005</v>
      </c>
      <c r="X331" s="280" t="s">
        <v>5198</v>
      </c>
      <c r="AH331" s="20">
        <v>81</v>
      </c>
      <c r="AI331" s="20" t="s">
        <v>5049</v>
      </c>
      <c r="AJ331" s="117">
        <v>-24159500</v>
      </c>
      <c r="AK331" s="20">
        <v>4</v>
      </c>
      <c r="AL331" s="20">
        <f t="shared" si="98"/>
        <v>288</v>
      </c>
      <c r="AM331" s="20">
        <f t="shared" si="99"/>
        <v>-6957936000</v>
      </c>
      <c r="AN331" s="20" t="s">
        <v>5057</v>
      </c>
    </row>
    <row r="332" spans="17:44">
      <c r="Q332" s="99" t="s">
        <v>5151</v>
      </c>
      <c r="R332" s="95">
        <v>17220</v>
      </c>
      <c r="T332" s="99"/>
      <c r="U332" s="168"/>
      <c r="V332" s="113"/>
      <c r="W332" s="113"/>
      <c r="X332" s="99"/>
      <c r="Z332" t="s">
        <v>25</v>
      </c>
      <c r="AH332" s="20">
        <v>82</v>
      </c>
      <c r="AI332" s="20" t="s">
        <v>5059</v>
      </c>
      <c r="AJ332" s="117">
        <v>400000</v>
      </c>
      <c r="AK332" s="20">
        <v>3</v>
      </c>
      <c r="AL332" s="20">
        <f t="shared" si="98"/>
        <v>284</v>
      </c>
      <c r="AM332" s="20">
        <f t="shared" si="99"/>
        <v>113600000</v>
      </c>
      <c r="AN332" s="20"/>
      <c r="AR332" t="s">
        <v>25</v>
      </c>
    </row>
    <row r="333" spans="17:44">
      <c r="Q333" s="99" t="s">
        <v>5152</v>
      </c>
      <c r="R333" s="95">
        <v>8249</v>
      </c>
      <c r="T333" s="168"/>
      <c r="U333" s="168">
        <f>SUM(U163:U332)</f>
        <v>3531519</v>
      </c>
      <c r="V333" s="99"/>
      <c r="W333" s="99"/>
      <c r="X333" s="99"/>
      <c r="AH333" s="149">
        <v>83</v>
      </c>
      <c r="AI333" s="149" t="s">
        <v>5066</v>
      </c>
      <c r="AJ333" s="188">
        <v>40000</v>
      </c>
      <c r="AK333" s="149">
        <v>0</v>
      </c>
      <c r="AL333" s="149">
        <f t="shared" si="98"/>
        <v>281</v>
      </c>
      <c r="AM333" s="149">
        <f t="shared" si="99"/>
        <v>11240000</v>
      </c>
      <c r="AN333" s="149"/>
    </row>
    <row r="334" spans="17:44">
      <c r="Q334" s="99" t="s">
        <v>5154</v>
      </c>
      <c r="R334" s="95">
        <v>6937</v>
      </c>
      <c r="T334" s="99"/>
      <c r="U334" s="99" t="s">
        <v>6</v>
      </c>
      <c r="V334" s="99"/>
      <c r="W334" s="99"/>
      <c r="X334" s="99"/>
      <c r="AH334" s="20">
        <v>84</v>
      </c>
      <c r="AI334" s="20" t="s">
        <v>5066</v>
      </c>
      <c r="AJ334" s="117">
        <v>40000</v>
      </c>
      <c r="AK334" s="20">
        <v>5</v>
      </c>
      <c r="AL334" s="20">
        <f t="shared" si="98"/>
        <v>281</v>
      </c>
      <c r="AM334" s="20">
        <f t="shared" si="99"/>
        <v>11240000</v>
      </c>
      <c r="AN334" s="20"/>
    </row>
    <row r="335" spans="17:44">
      <c r="Q335" s="99" t="s">
        <v>5154</v>
      </c>
      <c r="R335" s="95">
        <v>4046552</v>
      </c>
      <c r="S335" t="s">
        <v>25</v>
      </c>
      <c r="T335" s="200" t="s">
        <v>4471</v>
      </c>
      <c r="AH335" s="20">
        <v>85</v>
      </c>
      <c r="AI335" s="20" t="s">
        <v>5078</v>
      </c>
      <c r="AJ335" s="117">
        <v>200000</v>
      </c>
      <c r="AK335" s="20">
        <v>1</v>
      </c>
      <c r="AL335" s="20">
        <f t="shared" si="98"/>
        <v>276</v>
      </c>
      <c r="AM335" s="20">
        <f t="shared" si="99"/>
        <v>55200000</v>
      </c>
      <c r="AN335" s="20"/>
    </row>
    <row r="336" spans="17:44">
      <c r="Q336" s="99" t="s">
        <v>5157</v>
      </c>
      <c r="R336" s="95">
        <v>-3884943</v>
      </c>
      <c r="T336" s="199">
        <f>R176/U333</f>
        <v>1686.1829853386034</v>
      </c>
      <c r="AA336" t="s">
        <v>25</v>
      </c>
      <c r="AH336" s="20">
        <v>86</v>
      </c>
      <c r="AI336" s="20" t="s">
        <v>5082</v>
      </c>
      <c r="AJ336" s="117">
        <v>500000</v>
      </c>
      <c r="AK336" s="20">
        <v>2</v>
      </c>
      <c r="AL336" s="20">
        <f t="shared" ref="AL336:AL403" si="100">AK336+AL337</f>
        <v>275</v>
      </c>
      <c r="AM336" s="20">
        <f t="shared" ref="AM336:AM403" si="101">AJ336*AL336</f>
        <v>137500000</v>
      </c>
      <c r="AN336" s="20"/>
      <c r="AR336" t="s">
        <v>25</v>
      </c>
    </row>
    <row r="337" spans="17:46">
      <c r="Q337" s="99" t="s">
        <v>5166</v>
      </c>
      <c r="R337" s="95">
        <v>6022</v>
      </c>
      <c r="W337" s="114"/>
      <c r="AH337" s="20">
        <v>87</v>
      </c>
      <c r="AI337" s="20" t="s">
        <v>5084</v>
      </c>
      <c r="AJ337" s="117">
        <v>500000</v>
      </c>
      <c r="AK337" s="20">
        <v>3</v>
      </c>
      <c r="AL337" s="20">
        <f t="shared" si="100"/>
        <v>273</v>
      </c>
      <c r="AM337" s="20">
        <f t="shared" si="101"/>
        <v>136500000</v>
      </c>
      <c r="AN337" s="20"/>
      <c r="AS337" t="s">
        <v>25</v>
      </c>
    </row>
    <row r="338" spans="17:46">
      <c r="Q338" s="99" t="s">
        <v>5193</v>
      </c>
      <c r="R338" s="95">
        <v>400000</v>
      </c>
      <c r="U338" s="96" t="s">
        <v>267</v>
      </c>
      <c r="V338" t="s">
        <v>4472</v>
      </c>
      <c r="X338">
        <v>137360</v>
      </c>
      <c r="AH338" s="20">
        <v>88</v>
      </c>
      <c r="AI338" s="20" t="s">
        <v>5071</v>
      </c>
      <c r="AJ338" s="117">
        <v>250000</v>
      </c>
      <c r="AK338" s="20">
        <v>0</v>
      </c>
      <c r="AL338" s="20">
        <f t="shared" si="100"/>
        <v>270</v>
      </c>
      <c r="AM338" s="20">
        <f t="shared" si="101"/>
        <v>67500000</v>
      </c>
      <c r="AN338" s="20"/>
      <c r="AR338" t="s">
        <v>25</v>
      </c>
      <c r="AT338" s="96" t="s">
        <v>25</v>
      </c>
    </row>
    <row r="339" spans="17:46">
      <c r="Q339" s="99" t="s">
        <v>5197</v>
      </c>
      <c r="R339" s="95">
        <v>92847</v>
      </c>
      <c r="T339" s="114"/>
      <c r="U339" s="113">
        <v>652806</v>
      </c>
      <c r="V339">
        <f>U339/T336</f>
        <v>387.15015254937447</v>
      </c>
      <c r="X339">
        <v>102146</v>
      </c>
      <c r="Z339" t="s">
        <v>25</v>
      </c>
      <c r="AH339" s="256">
        <v>89</v>
      </c>
      <c r="AI339" s="256" t="s">
        <v>5071</v>
      </c>
      <c r="AJ339" s="247">
        <v>245000</v>
      </c>
      <c r="AK339" s="256">
        <v>16</v>
      </c>
      <c r="AL339" s="256">
        <f t="shared" si="100"/>
        <v>270</v>
      </c>
      <c r="AM339" s="256">
        <f t="shared" si="101"/>
        <v>66150000</v>
      </c>
      <c r="AN339" s="256"/>
      <c r="AS339" t="s">
        <v>25</v>
      </c>
    </row>
    <row r="340" spans="17:46">
      <c r="Q340" s="99" t="s">
        <v>5197</v>
      </c>
      <c r="R340" s="95">
        <v>-100000</v>
      </c>
      <c r="X340">
        <f>X338+X339</f>
        <v>239506</v>
      </c>
      <c r="AH340" s="20">
        <v>90</v>
      </c>
      <c r="AI340" s="20" t="s">
        <v>5110</v>
      </c>
      <c r="AJ340" s="117">
        <v>312598</v>
      </c>
      <c r="AK340" s="20">
        <v>0</v>
      </c>
      <c r="AL340" s="20">
        <f t="shared" si="100"/>
        <v>254</v>
      </c>
      <c r="AM340" s="20">
        <f t="shared" si="101"/>
        <v>79399892</v>
      </c>
      <c r="AN340" s="20"/>
    </row>
    <row r="341" spans="17:46" ht="30">
      <c r="Q341" s="99" t="s">
        <v>5201</v>
      </c>
      <c r="R341" s="95">
        <v>10000000</v>
      </c>
      <c r="V341" s="22" t="s">
        <v>5220</v>
      </c>
      <c r="W341" s="223"/>
      <c r="X341" s="96">
        <f>X340/2</f>
        <v>119753</v>
      </c>
      <c r="AH341" s="20">
        <v>91</v>
      </c>
      <c r="AI341" s="20" t="s">
        <v>5110</v>
      </c>
      <c r="AJ341" s="117">
        <v>780000</v>
      </c>
      <c r="AK341" s="20">
        <v>0</v>
      </c>
      <c r="AL341" s="20">
        <f t="shared" si="100"/>
        <v>254</v>
      </c>
      <c r="AM341" s="20">
        <f t="shared" si="101"/>
        <v>198120000</v>
      </c>
      <c r="AN341" s="20"/>
    </row>
    <row r="342" spans="17:46">
      <c r="Q342" s="99" t="s">
        <v>5206</v>
      </c>
      <c r="R342" s="95">
        <v>-400000</v>
      </c>
      <c r="W342" s="96" t="s">
        <v>25</v>
      </c>
      <c r="X342">
        <f>X338-X341</f>
        <v>17607</v>
      </c>
      <c r="AA342" t="s">
        <v>25</v>
      </c>
      <c r="AH342" s="195">
        <v>92</v>
      </c>
      <c r="AI342" s="195" t="s">
        <v>5110</v>
      </c>
      <c r="AJ342" s="196">
        <v>-300000</v>
      </c>
      <c r="AK342" s="195">
        <v>1</v>
      </c>
      <c r="AL342" s="195">
        <f t="shared" si="100"/>
        <v>254</v>
      </c>
      <c r="AM342" s="195">
        <f t="shared" si="101"/>
        <v>-76200000</v>
      </c>
      <c r="AN342" s="195"/>
    </row>
    <row r="343" spans="17:46">
      <c r="Q343" s="99" t="s">
        <v>5210</v>
      </c>
      <c r="R343" s="95">
        <v>5649</v>
      </c>
      <c r="X343">
        <f>X339-X341</f>
        <v>-17607</v>
      </c>
      <c r="AH343" s="20">
        <v>93</v>
      </c>
      <c r="AI343" s="20" t="s">
        <v>5072</v>
      </c>
      <c r="AJ343" s="117">
        <v>300000</v>
      </c>
      <c r="AK343" s="20">
        <v>0</v>
      </c>
      <c r="AL343" s="20">
        <f t="shared" si="100"/>
        <v>253</v>
      </c>
      <c r="AM343" s="20">
        <f t="shared" si="101"/>
        <v>75900000</v>
      </c>
      <c r="AN343" s="20"/>
    </row>
    <row r="344" spans="17:46" ht="60">
      <c r="Q344" s="99" t="s">
        <v>5212</v>
      </c>
      <c r="R344" s="95">
        <v>460000</v>
      </c>
      <c r="T344" s="22" t="s">
        <v>4455</v>
      </c>
      <c r="V344" s="223" t="s">
        <v>25</v>
      </c>
      <c r="X344">
        <f>110+81.8</f>
        <v>191.8</v>
      </c>
      <c r="AH344" s="20">
        <v>94</v>
      </c>
      <c r="AI344" s="20" t="s">
        <v>5072</v>
      </c>
      <c r="AJ344" s="117">
        <v>8660000</v>
      </c>
      <c r="AK344" s="20">
        <v>8</v>
      </c>
      <c r="AL344" s="20">
        <f t="shared" si="100"/>
        <v>253</v>
      </c>
      <c r="AM344" s="20">
        <f t="shared" si="101"/>
        <v>2190980000</v>
      </c>
      <c r="AN344" s="20"/>
    </row>
    <row r="345" spans="17:46" ht="45">
      <c r="Q345" s="99" t="s">
        <v>5213</v>
      </c>
      <c r="R345" s="95">
        <v>1300000</v>
      </c>
      <c r="T345" s="22" t="s">
        <v>4456</v>
      </c>
      <c r="X345">
        <f>X344/2</f>
        <v>95.9</v>
      </c>
      <c r="AH345" s="149">
        <v>95</v>
      </c>
      <c r="AI345" s="149" t="s">
        <v>5127</v>
      </c>
      <c r="AJ345" s="188">
        <v>200000</v>
      </c>
      <c r="AK345" s="149">
        <v>3</v>
      </c>
      <c r="AL345" s="149">
        <f t="shared" si="100"/>
        <v>245</v>
      </c>
      <c r="AM345" s="149">
        <f t="shared" si="101"/>
        <v>49000000</v>
      </c>
      <c r="AN345" s="149"/>
    </row>
    <row r="346" spans="17:46">
      <c r="Q346" s="99" t="s">
        <v>5213</v>
      </c>
      <c r="R346" s="95">
        <v>7300000</v>
      </c>
      <c r="AA346" t="s">
        <v>25</v>
      </c>
      <c r="AH346" s="149">
        <v>96</v>
      </c>
      <c r="AI346" s="149" t="s">
        <v>5130</v>
      </c>
      <c r="AJ346" s="188">
        <v>20000</v>
      </c>
      <c r="AK346" s="149">
        <v>1</v>
      </c>
      <c r="AL346" s="149">
        <f t="shared" si="100"/>
        <v>242</v>
      </c>
      <c r="AM346" s="149">
        <f t="shared" si="101"/>
        <v>4840000</v>
      </c>
      <c r="AN346" s="149"/>
    </row>
    <row r="347" spans="17:46">
      <c r="Q347" s="99" t="s">
        <v>989</v>
      </c>
      <c r="R347" s="95">
        <v>21203</v>
      </c>
      <c r="Y347" t="s">
        <v>25</v>
      </c>
      <c r="AH347" s="20">
        <v>97</v>
      </c>
      <c r="AI347" s="20" t="s">
        <v>5140</v>
      </c>
      <c r="AJ347" s="117">
        <v>14340000</v>
      </c>
      <c r="AK347" s="20">
        <v>7</v>
      </c>
      <c r="AL347" s="20">
        <f t="shared" si="100"/>
        <v>241</v>
      </c>
      <c r="AM347" s="20">
        <f t="shared" si="101"/>
        <v>3455940000</v>
      </c>
      <c r="AN347" s="20"/>
    </row>
    <row r="348" spans="17:46">
      <c r="Q348" s="99" t="s">
        <v>4271</v>
      </c>
      <c r="R348" s="95">
        <v>34550</v>
      </c>
      <c r="T348" s="99" t="s">
        <v>4473</v>
      </c>
      <c r="U348" s="99" t="s">
        <v>4445</v>
      </c>
      <c r="V348" s="99" t="s">
        <v>950</v>
      </c>
      <c r="W348" s="74"/>
      <c r="AH348" s="20">
        <v>98</v>
      </c>
      <c r="AI348" s="20" t="s">
        <v>5148</v>
      </c>
      <c r="AJ348" s="117">
        <v>10000000</v>
      </c>
      <c r="AK348" s="20">
        <v>6</v>
      </c>
      <c r="AL348" s="20">
        <f t="shared" si="100"/>
        <v>234</v>
      </c>
      <c r="AM348" s="20">
        <f t="shared" si="101"/>
        <v>2340000000</v>
      </c>
      <c r="AN348" s="20" t="s">
        <v>4731</v>
      </c>
    </row>
    <row r="349" spans="17:46">
      <c r="Q349" s="99" t="s">
        <v>5211</v>
      </c>
      <c r="R349" s="95">
        <v>-2134406</v>
      </c>
      <c r="T349" s="95">
        <f>S217+R270+R366</f>
        <v>799880817</v>
      </c>
      <c r="U349" s="95">
        <f>R176</f>
        <v>5954787250.1999998</v>
      </c>
      <c r="V349" s="95">
        <f>U349-T349</f>
        <v>5154906433.1999998</v>
      </c>
      <c r="AH349" s="20">
        <v>99</v>
      </c>
      <c r="AI349" s="20" t="s">
        <v>5154</v>
      </c>
      <c r="AJ349" s="117">
        <v>4033949</v>
      </c>
      <c r="AK349" s="20">
        <v>2</v>
      </c>
      <c r="AL349" s="20">
        <f t="shared" si="100"/>
        <v>228</v>
      </c>
      <c r="AM349" s="20">
        <f t="shared" si="101"/>
        <v>919740372</v>
      </c>
      <c r="AN349" s="20" t="s">
        <v>5156</v>
      </c>
    </row>
    <row r="350" spans="17:46">
      <c r="Q350" s="99" t="s">
        <v>5253</v>
      </c>
      <c r="R350" s="95">
        <v>-618906</v>
      </c>
      <c r="AH350" s="149">
        <v>100</v>
      </c>
      <c r="AI350" s="149" t="s">
        <v>5160</v>
      </c>
      <c r="AJ350" s="188">
        <v>11500000</v>
      </c>
      <c r="AK350" s="149">
        <v>2</v>
      </c>
      <c r="AL350" s="149">
        <f t="shared" si="100"/>
        <v>226</v>
      </c>
      <c r="AM350" s="149">
        <f t="shared" si="101"/>
        <v>2599000000</v>
      </c>
      <c r="AN350" s="149" t="s">
        <v>5162</v>
      </c>
    </row>
    <row r="351" spans="17:46">
      <c r="Q351" s="99" t="s">
        <v>5256</v>
      </c>
      <c r="R351" s="95">
        <v>-54615</v>
      </c>
      <c r="S351" t="s">
        <v>25</v>
      </c>
      <c r="AH351" s="149">
        <v>101</v>
      </c>
      <c r="AI351" s="149" t="s">
        <v>5166</v>
      </c>
      <c r="AJ351" s="188">
        <v>250000</v>
      </c>
      <c r="AK351" s="149">
        <v>3</v>
      </c>
      <c r="AL351" s="149">
        <f t="shared" si="100"/>
        <v>224</v>
      </c>
      <c r="AM351" s="149">
        <f t="shared" si="101"/>
        <v>56000000</v>
      </c>
      <c r="AN351" s="149"/>
    </row>
    <row r="352" spans="17:46">
      <c r="Q352" s="99" t="s">
        <v>5301</v>
      </c>
      <c r="R352" s="95">
        <v>18000000</v>
      </c>
      <c r="T352" s="117"/>
      <c r="V352" s="114">
        <f>(444000000+2500000)*2/3</f>
        <v>297666666.66666669</v>
      </c>
      <c r="AH352" s="149">
        <v>102</v>
      </c>
      <c r="AI352" s="149" t="s">
        <v>5191</v>
      </c>
      <c r="AJ352" s="188">
        <v>6000000</v>
      </c>
      <c r="AK352" s="149">
        <v>1</v>
      </c>
      <c r="AL352" s="149">
        <f t="shared" si="100"/>
        <v>221</v>
      </c>
      <c r="AM352" s="149">
        <f t="shared" si="101"/>
        <v>1326000000</v>
      </c>
      <c r="AN352" s="149" t="s">
        <v>5162</v>
      </c>
    </row>
    <row r="353" spans="17:45">
      <c r="Q353" s="99" t="s">
        <v>5354</v>
      </c>
      <c r="R353" s="95">
        <v>20000000</v>
      </c>
      <c r="AH353" s="149">
        <v>103</v>
      </c>
      <c r="AI353" s="149" t="s">
        <v>5193</v>
      </c>
      <c r="AJ353" s="188">
        <v>1500000</v>
      </c>
      <c r="AK353" s="149">
        <v>6</v>
      </c>
      <c r="AL353" s="149">
        <f t="shared" si="100"/>
        <v>220</v>
      </c>
      <c r="AM353" s="149">
        <f t="shared" si="101"/>
        <v>330000000</v>
      </c>
      <c r="AN353" s="149" t="s">
        <v>5162</v>
      </c>
    </row>
    <row r="354" spans="17:45">
      <c r="Q354" s="99" t="s">
        <v>5365</v>
      </c>
      <c r="R354" s="95">
        <v>27694196</v>
      </c>
      <c r="T354" s="114">
        <f>W315+W316+W318+W319+W321+W322</f>
        <v>-301699041.74755996</v>
      </c>
      <c r="AH354" s="20">
        <v>104</v>
      </c>
      <c r="AI354" s="20" t="s">
        <v>972</v>
      </c>
      <c r="AJ354" s="117">
        <v>-3960043</v>
      </c>
      <c r="AK354" s="20">
        <v>2</v>
      </c>
      <c r="AL354" s="20">
        <f t="shared" si="100"/>
        <v>214</v>
      </c>
      <c r="AM354" s="20">
        <f t="shared" si="101"/>
        <v>-847449202</v>
      </c>
      <c r="AN354" s="20"/>
    </row>
    <row r="355" spans="17:45">
      <c r="Q355" s="99" t="s">
        <v>5446</v>
      </c>
      <c r="R355" s="95">
        <v>7211722</v>
      </c>
      <c r="T355" t="s">
        <v>25</v>
      </c>
      <c r="AH355" s="20">
        <v>105</v>
      </c>
      <c r="AI355" s="20" t="s">
        <v>5212</v>
      </c>
      <c r="AJ355" s="117">
        <v>230000</v>
      </c>
      <c r="AK355" s="20">
        <v>0</v>
      </c>
      <c r="AL355" s="20">
        <f t="shared" si="100"/>
        <v>212</v>
      </c>
      <c r="AM355" s="20">
        <f t="shared" si="101"/>
        <v>48760000</v>
      </c>
      <c r="AN355" s="20"/>
    </row>
    <row r="356" spans="17:45">
      <c r="Q356" s="99" t="s">
        <v>5447</v>
      </c>
      <c r="R356" s="95">
        <v>8481864</v>
      </c>
      <c r="T356" s="114">
        <f>V352+T354</f>
        <v>-4032375.0808932781</v>
      </c>
      <c r="Y356" t="s">
        <v>25</v>
      </c>
      <c r="AH356" s="149">
        <v>106</v>
      </c>
      <c r="AI356" s="149" t="s">
        <v>5212</v>
      </c>
      <c r="AJ356" s="188">
        <v>230000</v>
      </c>
      <c r="AK356" s="149">
        <v>1</v>
      </c>
      <c r="AL356" s="149">
        <f t="shared" ref="AL356:AL360" si="102">AK356+AL357</f>
        <v>212</v>
      </c>
      <c r="AM356" s="149">
        <f t="shared" ref="AM356:AM360" si="103">AJ356*AL356</f>
        <v>48760000</v>
      </c>
      <c r="AN356" s="149"/>
    </row>
    <row r="357" spans="17:45">
      <c r="Q357" s="99" t="s">
        <v>5455</v>
      </c>
      <c r="R357" s="95">
        <v>1558697</v>
      </c>
      <c r="T357" t="s">
        <v>25</v>
      </c>
      <c r="Y357" t="s">
        <v>25</v>
      </c>
      <c r="AH357" s="149">
        <v>107</v>
      </c>
      <c r="AI357" s="149" t="s">
        <v>5213</v>
      </c>
      <c r="AJ357" s="188">
        <v>500000</v>
      </c>
      <c r="AK357" s="149">
        <v>1</v>
      </c>
      <c r="AL357" s="149">
        <f t="shared" si="102"/>
        <v>211</v>
      </c>
      <c r="AM357" s="149">
        <f t="shared" si="103"/>
        <v>105500000</v>
      </c>
      <c r="AN357" s="149"/>
    </row>
    <row r="358" spans="17:45">
      <c r="Q358" s="99" t="s">
        <v>5460</v>
      </c>
      <c r="R358" s="95">
        <v>9042009</v>
      </c>
      <c r="T358" t="s">
        <v>25</v>
      </c>
      <c r="AH358" s="20">
        <v>108</v>
      </c>
      <c r="AI358" s="20" t="s">
        <v>5216</v>
      </c>
      <c r="AJ358" s="117">
        <v>-880000</v>
      </c>
      <c r="AK358" s="20">
        <v>4</v>
      </c>
      <c r="AL358" s="20">
        <f t="shared" si="102"/>
        <v>210</v>
      </c>
      <c r="AM358" s="20">
        <f t="shared" si="103"/>
        <v>-184800000</v>
      </c>
      <c r="AN358" s="20"/>
      <c r="AS358" t="s">
        <v>25</v>
      </c>
    </row>
    <row r="359" spans="17:45">
      <c r="Q359" s="99" t="s">
        <v>5461</v>
      </c>
      <c r="R359" s="95">
        <v>94969</v>
      </c>
      <c r="Y359" t="s">
        <v>25</v>
      </c>
      <c r="AH359" s="195">
        <v>109</v>
      </c>
      <c r="AI359" s="195" t="s">
        <v>5221</v>
      </c>
      <c r="AJ359" s="196">
        <v>873000</v>
      </c>
      <c r="AK359" s="195">
        <v>0</v>
      </c>
      <c r="AL359" s="195">
        <f t="shared" si="102"/>
        <v>206</v>
      </c>
      <c r="AM359" s="195">
        <f t="shared" si="103"/>
        <v>179838000</v>
      </c>
      <c r="AN359" s="195" t="s">
        <v>5162</v>
      </c>
    </row>
    <row r="360" spans="17:45">
      <c r="Q360" s="99" t="s">
        <v>5467</v>
      </c>
      <c r="R360" s="95">
        <v>40000000</v>
      </c>
      <c r="Y360" t="s">
        <v>25</v>
      </c>
      <c r="AH360" s="20">
        <v>110</v>
      </c>
      <c r="AI360" s="20" t="s">
        <v>5221</v>
      </c>
      <c r="AJ360" s="117">
        <v>127000</v>
      </c>
      <c r="AK360" s="20">
        <v>0</v>
      </c>
      <c r="AL360" s="20">
        <f t="shared" si="102"/>
        <v>206</v>
      </c>
      <c r="AM360" s="20">
        <f t="shared" si="103"/>
        <v>26162000</v>
      </c>
      <c r="AN360" s="20" t="s">
        <v>5162</v>
      </c>
    </row>
    <row r="361" spans="17:45">
      <c r="Q361" s="99" t="s">
        <v>5467</v>
      </c>
      <c r="R361" s="95">
        <v>2806274</v>
      </c>
      <c r="T361" t="s">
        <v>25</v>
      </c>
      <c r="Y361" t="s">
        <v>25</v>
      </c>
      <c r="AH361" s="20">
        <v>111</v>
      </c>
      <c r="AI361" s="20" t="s">
        <v>5221</v>
      </c>
      <c r="AJ361" s="117">
        <v>73000</v>
      </c>
      <c r="AK361" s="20">
        <v>1</v>
      </c>
      <c r="AL361" s="20">
        <f t="shared" ref="AL361:AL365" si="104">AK361+AL362</f>
        <v>206</v>
      </c>
      <c r="AM361" s="20">
        <f t="shared" ref="AM361:AM365" si="105">AJ361*AL361</f>
        <v>15038000</v>
      </c>
      <c r="AN361" s="20"/>
    </row>
    <row r="362" spans="17:45">
      <c r="Q362" s="99" t="s">
        <v>5468</v>
      </c>
      <c r="R362" s="95">
        <v>1331702</v>
      </c>
      <c r="T362" t="s">
        <v>25</v>
      </c>
      <c r="Y362" t="s">
        <v>25</v>
      </c>
      <c r="AH362" s="20">
        <v>112</v>
      </c>
      <c r="AI362" s="20" t="s">
        <v>989</v>
      </c>
      <c r="AJ362" s="117">
        <v>4300000</v>
      </c>
      <c r="AK362" s="20">
        <v>1</v>
      </c>
      <c r="AL362" s="20">
        <f t="shared" si="104"/>
        <v>205</v>
      </c>
      <c r="AM362" s="20">
        <f t="shared" si="105"/>
        <v>881500000</v>
      </c>
      <c r="AN362" s="20"/>
    </row>
    <row r="363" spans="17:45">
      <c r="Q363" s="99" t="s">
        <v>5478</v>
      </c>
      <c r="R363" s="95">
        <v>851238</v>
      </c>
      <c r="W363" s="96" t="s">
        <v>25</v>
      </c>
      <c r="AH363" s="20">
        <v>113</v>
      </c>
      <c r="AI363" s="20" t="s">
        <v>5088</v>
      </c>
      <c r="AJ363" s="117">
        <v>1600000</v>
      </c>
      <c r="AK363" s="20">
        <v>0</v>
      </c>
      <c r="AL363" s="20">
        <f t="shared" si="104"/>
        <v>204</v>
      </c>
      <c r="AM363" s="20">
        <f t="shared" si="105"/>
        <v>326400000</v>
      </c>
      <c r="AN363" s="20"/>
    </row>
    <row r="364" spans="17:45">
      <c r="Q364" s="99" t="s">
        <v>5520</v>
      </c>
      <c r="R364" s="95">
        <v>652592</v>
      </c>
      <c r="T364" t="s">
        <v>25</v>
      </c>
      <c r="AH364" s="20">
        <v>114</v>
      </c>
      <c r="AI364" s="20" t="s">
        <v>4271</v>
      </c>
      <c r="AJ364" s="117">
        <v>-10000000</v>
      </c>
      <c r="AK364" s="20">
        <v>1</v>
      </c>
      <c r="AL364" s="20">
        <f t="shared" si="104"/>
        <v>204</v>
      </c>
      <c r="AM364" s="20">
        <f t="shared" si="105"/>
        <v>-2040000000</v>
      </c>
      <c r="AN364" s="20" t="s">
        <v>5228</v>
      </c>
    </row>
    <row r="365" spans="17:45">
      <c r="Q365" s="99"/>
      <c r="R365" s="95"/>
      <c r="T365" t="s">
        <v>25</v>
      </c>
      <c r="Y365" t="s">
        <v>25</v>
      </c>
      <c r="AH365" s="20">
        <v>115</v>
      </c>
      <c r="AI365" s="20" t="s">
        <v>5227</v>
      </c>
      <c r="AJ365" s="117">
        <v>571000</v>
      </c>
      <c r="AK365" s="20">
        <v>4</v>
      </c>
      <c r="AL365" s="20">
        <f t="shared" si="104"/>
        <v>203</v>
      </c>
      <c r="AM365" s="20">
        <f t="shared" si="105"/>
        <v>115913000</v>
      </c>
      <c r="AN365" s="20"/>
    </row>
    <row r="366" spans="17:45">
      <c r="Q366" s="99"/>
      <c r="R366" s="95">
        <f>SUM(R275:R365)</f>
        <v>536952249</v>
      </c>
      <c r="T366" t="s">
        <v>25</v>
      </c>
      <c r="AH366" s="20">
        <v>116</v>
      </c>
      <c r="AI366" s="20" t="s">
        <v>5229</v>
      </c>
      <c r="AJ366" s="117">
        <v>200000</v>
      </c>
      <c r="AK366" s="20">
        <v>3</v>
      </c>
      <c r="AL366" s="20">
        <f t="shared" ref="AL366:AL377" si="106">AK366+AL367</f>
        <v>199</v>
      </c>
      <c r="AM366" s="20">
        <f t="shared" ref="AM366:AM377" si="107">AJ366*AL366</f>
        <v>39800000</v>
      </c>
      <c r="AN366" s="20"/>
    </row>
    <row r="367" spans="17:45">
      <c r="Q367" s="99"/>
      <c r="R367" s="99" t="s">
        <v>6</v>
      </c>
      <c r="T367" t="s">
        <v>25</v>
      </c>
      <c r="U367" s="96" t="s">
        <v>25</v>
      </c>
      <c r="AH367" s="149">
        <v>117</v>
      </c>
      <c r="AI367" s="149" t="s">
        <v>5236</v>
      </c>
      <c r="AJ367" s="188">
        <v>50000</v>
      </c>
      <c r="AK367" s="149">
        <v>7</v>
      </c>
      <c r="AL367" s="149">
        <f t="shared" si="106"/>
        <v>196</v>
      </c>
      <c r="AM367" s="149">
        <f t="shared" si="107"/>
        <v>9800000</v>
      </c>
      <c r="AN367" s="149"/>
    </row>
    <row r="368" spans="17:45">
      <c r="T368" t="s">
        <v>25</v>
      </c>
      <c r="AH368" s="20">
        <v>118</v>
      </c>
      <c r="AI368" s="20" t="s">
        <v>5244</v>
      </c>
      <c r="AJ368" s="117">
        <v>-500000</v>
      </c>
      <c r="AK368" s="20">
        <v>12</v>
      </c>
      <c r="AL368" s="20">
        <f t="shared" si="106"/>
        <v>189</v>
      </c>
      <c r="AM368" s="20">
        <f t="shared" si="107"/>
        <v>-94500000</v>
      </c>
      <c r="AN368" s="20"/>
    </row>
    <row r="369" spans="17:45">
      <c r="T369" t="s">
        <v>25</v>
      </c>
      <c r="AH369" s="149">
        <v>119</v>
      </c>
      <c r="AI369" s="149" t="s">
        <v>988</v>
      </c>
      <c r="AJ369" s="188">
        <v>-50000</v>
      </c>
      <c r="AK369" s="149">
        <v>0</v>
      </c>
      <c r="AL369" s="149">
        <f t="shared" si="106"/>
        <v>177</v>
      </c>
      <c r="AM369" s="149">
        <f t="shared" si="107"/>
        <v>-8850000</v>
      </c>
      <c r="AN369" s="149"/>
    </row>
    <row r="370" spans="17:45">
      <c r="Q370" t="s">
        <v>25</v>
      </c>
      <c r="T370" t="s">
        <v>25</v>
      </c>
      <c r="U370" s="96" t="s">
        <v>25</v>
      </c>
      <c r="V370" t="s">
        <v>25</v>
      </c>
      <c r="AH370" s="20">
        <v>120</v>
      </c>
      <c r="AI370" s="20" t="s">
        <v>988</v>
      </c>
      <c r="AJ370" s="117">
        <v>-50000</v>
      </c>
      <c r="AK370" s="20">
        <v>28</v>
      </c>
      <c r="AL370" s="20">
        <f t="shared" si="106"/>
        <v>177</v>
      </c>
      <c r="AM370" s="20">
        <f t="shared" si="107"/>
        <v>-8850000</v>
      </c>
      <c r="AN370" s="20"/>
    </row>
    <row r="371" spans="17:45">
      <c r="T371" t="s">
        <v>25</v>
      </c>
      <c r="AH371" s="20">
        <v>121</v>
      </c>
      <c r="AI371" s="20" t="s">
        <v>5290</v>
      </c>
      <c r="AJ371" s="117">
        <v>-3020625</v>
      </c>
      <c r="AK371" s="20">
        <v>18</v>
      </c>
      <c r="AL371" s="20">
        <f t="shared" si="106"/>
        <v>149</v>
      </c>
      <c r="AM371" s="20">
        <f t="shared" si="107"/>
        <v>-450073125</v>
      </c>
      <c r="AN371" s="20"/>
    </row>
    <row r="372" spans="17:45">
      <c r="AH372" s="20">
        <v>122</v>
      </c>
      <c r="AI372" s="20" t="s">
        <v>5301</v>
      </c>
      <c r="AJ372" s="117">
        <v>18000000</v>
      </c>
      <c r="AK372" s="20">
        <v>19</v>
      </c>
      <c r="AL372" s="20">
        <f t="shared" si="106"/>
        <v>131</v>
      </c>
      <c r="AM372" s="20">
        <f t="shared" si="107"/>
        <v>2358000000</v>
      </c>
      <c r="AN372" s="20"/>
      <c r="AR372" t="s">
        <v>25</v>
      </c>
    </row>
    <row r="373" spans="17:45">
      <c r="R373" t="s">
        <v>25</v>
      </c>
      <c r="T373" t="s">
        <v>25</v>
      </c>
      <c r="AH373" s="20">
        <v>123</v>
      </c>
      <c r="AI373" s="20" t="s">
        <v>5330</v>
      </c>
      <c r="AJ373" s="117">
        <v>2000000</v>
      </c>
      <c r="AK373" s="20">
        <v>6</v>
      </c>
      <c r="AL373" s="20">
        <f t="shared" si="106"/>
        <v>112</v>
      </c>
      <c r="AM373" s="20">
        <f t="shared" si="107"/>
        <v>224000000</v>
      </c>
      <c r="AN373" s="20"/>
    </row>
    <row r="374" spans="17:45">
      <c r="T374" t="s">
        <v>25</v>
      </c>
      <c r="U374" s="96" t="s">
        <v>25</v>
      </c>
      <c r="AH374" s="149">
        <v>124</v>
      </c>
      <c r="AI374" s="149" t="s">
        <v>5343</v>
      </c>
      <c r="AJ374" s="188">
        <v>40000000</v>
      </c>
      <c r="AK374" s="149">
        <v>6</v>
      </c>
      <c r="AL374" s="149">
        <f t="shared" si="106"/>
        <v>106</v>
      </c>
      <c r="AM374" s="149">
        <f t="shared" si="107"/>
        <v>4240000000</v>
      </c>
      <c r="AN374" s="149"/>
      <c r="AS374" t="s">
        <v>25</v>
      </c>
    </row>
    <row r="375" spans="17:45">
      <c r="R375" t="s">
        <v>25</v>
      </c>
      <c r="AH375" s="20">
        <v>125</v>
      </c>
      <c r="AI375" s="20" t="s">
        <v>5354</v>
      </c>
      <c r="AJ375" s="117">
        <v>200000</v>
      </c>
      <c r="AK375" s="20">
        <v>0</v>
      </c>
      <c r="AL375" s="20">
        <f t="shared" si="106"/>
        <v>100</v>
      </c>
      <c r="AM375" s="20">
        <f t="shared" si="107"/>
        <v>20000000</v>
      </c>
      <c r="AN375" s="20"/>
    </row>
    <row r="376" spans="17:45">
      <c r="U376" s="96" t="s">
        <v>25</v>
      </c>
      <c r="AH376" s="149">
        <v>126</v>
      </c>
      <c r="AI376" s="149" t="s">
        <v>5354</v>
      </c>
      <c r="AJ376" s="188">
        <v>200000</v>
      </c>
      <c r="AK376" s="149">
        <v>1</v>
      </c>
      <c r="AL376" s="149">
        <f t="shared" si="106"/>
        <v>100</v>
      </c>
      <c r="AM376" s="149">
        <f t="shared" si="107"/>
        <v>20000000</v>
      </c>
      <c r="AN376" s="149"/>
    </row>
    <row r="377" spans="17:45">
      <c r="Y377" t="s">
        <v>25</v>
      </c>
      <c r="AH377" s="20">
        <v>127</v>
      </c>
      <c r="AI377" s="20" t="s">
        <v>5359</v>
      </c>
      <c r="AJ377" s="117">
        <v>50000</v>
      </c>
      <c r="AK377" s="20">
        <v>4</v>
      </c>
      <c r="AL377" s="20">
        <f t="shared" si="106"/>
        <v>99</v>
      </c>
      <c r="AM377" s="20">
        <f t="shared" si="107"/>
        <v>4950000</v>
      </c>
      <c r="AN377" s="20"/>
      <c r="AR377" t="s">
        <v>25</v>
      </c>
    </row>
    <row r="378" spans="17:45">
      <c r="AH378" s="20">
        <v>128</v>
      </c>
      <c r="AI378" s="20" t="s">
        <v>5362</v>
      </c>
      <c r="AJ378" s="117">
        <v>100000</v>
      </c>
      <c r="AK378" s="20">
        <v>9</v>
      </c>
      <c r="AL378" s="20">
        <f t="shared" ref="AL378:AL382" si="108">AK378+AL379</f>
        <v>95</v>
      </c>
      <c r="AM378" s="20">
        <f t="shared" ref="AM378:AM382" si="109">AJ378*AL378</f>
        <v>9500000</v>
      </c>
      <c r="AN378" s="20"/>
    </row>
    <row r="379" spans="17:45">
      <c r="AH379" s="20">
        <v>129</v>
      </c>
      <c r="AI379" s="20" t="s">
        <v>5380</v>
      </c>
      <c r="AJ379" s="117">
        <v>-550000</v>
      </c>
      <c r="AK379" s="20">
        <v>5</v>
      </c>
      <c r="AL379" s="20">
        <f t="shared" si="108"/>
        <v>86</v>
      </c>
      <c r="AM379" s="20">
        <f t="shared" si="109"/>
        <v>-47300000</v>
      </c>
      <c r="AN379" s="20"/>
    </row>
    <row r="380" spans="17:45">
      <c r="AH380" s="20">
        <v>130</v>
      </c>
      <c r="AI380" s="20" t="s">
        <v>5386</v>
      </c>
      <c r="AJ380" s="117">
        <v>-29686490</v>
      </c>
      <c r="AK380" s="20">
        <v>1</v>
      </c>
      <c r="AL380" s="20">
        <f t="shared" si="108"/>
        <v>81</v>
      </c>
      <c r="AM380" s="20">
        <f t="shared" si="109"/>
        <v>-2404605690</v>
      </c>
      <c r="AN380" s="20"/>
    </row>
    <row r="381" spans="17:45">
      <c r="AH381" s="20">
        <v>131</v>
      </c>
      <c r="AI381" s="20" t="s">
        <v>5397</v>
      </c>
      <c r="AJ381" s="117">
        <v>-9000000</v>
      </c>
      <c r="AK381" s="20">
        <v>8</v>
      </c>
      <c r="AL381" s="20">
        <f t="shared" si="108"/>
        <v>80</v>
      </c>
      <c r="AM381" s="20">
        <f t="shared" si="109"/>
        <v>-720000000</v>
      </c>
      <c r="AN381" s="20"/>
      <c r="AP381" t="s">
        <v>25</v>
      </c>
    </row>
    <row r="382" spans="17:45">
      <c r="AH382" s="20">
        <v>132</v>
      </c>
      <c r="AI382" s="20" t="s">
        <v>5442</v>
      </c>
      <c r="AJ382" s="117">
        <v>810000</v>
      </c>
      <c r="AK382" s="20">
        <v>2</v>
      </c>
      <c r="AL382" s="20">
        <f t="shared" si="108"/>
        <v>72</v>
      </c>
      <c r="AM382" s="20">
        <f t="shared" si="109"/>
        <v>58320000</v>
      </c>
      <c r="AN382" s="20"/>
    </row>
    <row r="383" spans="17:45">
      <c r="AH383" s="20">
        <v>133</v>
      </c>
      <c r="AI383" s="20" t="s">
        <v>5447</v>
      </c>
      <c r="AJ383" s="117">
        <v>-5000000</v>
      </c>
      <c r="AK383" s="20">
        <v>3</v>
      </c>
      <c r="AL383" s="20">
        <f t="shared" ref="AL383:AL384" si="110">AK383+AL384</f>
        <v>70</v>
      </c>
      <c r="AM383" s="20">
        <f t="shared" ref="AM383:AM384" si="111">AJ383*AL383</f>
        <v>-350000000</v>
      </c>
      <c r="AN383" s="20"/>
    </row>
    <row r="384" spans="17:45">
      <c r="AH384" s="20">
        <v>134</v>
      </c>
      <c r="AI384" s="20" t="s">
        <v>5455</v>
      </c>
      <c r="AJ384" s="117">
        <v>-26000000</v>
      </c>
      <c r="AK384" s="20">
        <v>0</v>
      </c>
      <c r="AL384" s="20">
        <f t="shared" si="110"/>
        <v>67</v>
      </c>
      <c r="AM384" s="20">
        <f t="shared" si="111"/>
        <v>-1742000000</v>
      </c>
      <c r="AN384" s="20"/>
    </row>
    <row r="385" spans="32:45">
      <c r="AH385" s="256">
        <v>135</v>
      </c>
      <c r="AI385" s="256" t="s">
        <v>5455</v>
      </c>
      <c r="AJ385" s="247">
        <v>-26000000</v>
      </c>
      <c r="AK385" s="256">
        <v>1</v>
      </c>
      <c r="AL385" s="256">
        <f t="shared" ref="AL385:AL388" si="112">AK385+AL386</f>
        <v>67</v>
      </c>
      <c r="AM385" s="256">
        <f t="shared" ref="AM385:AM388" si="113">AJ385*AL385</f>
        <v>-1742000000</v>
      </c>
      <c r="AN385" s="256"/>
    </row>
    <row r="386" spans="32:45">
      <c r="AH386" s="20">
        <v>136</v>
      </c>
      <c r="AI386" s="20" t="s">
        <v>5460</v>
      </c>
      <c r="AJ386" s="117">
        <v>-81800000</v>
      </c>
      <c r="AK386" s="20">
        <v>0</v>
      </c>
      <c r="AL386" s="20">
        <f t="shared" si="112"/>
        <v>66</v>
      </c>
      <c r="AM386" s="20">
        <f t="shared" si="113"/>
        <v>-5398800000</v>
      </c>
      <c r="AN386" s="20"/>
      <c r="AQ386" t="s">
        <v>25</v>
      </c>
    </row>
    <row r="387" spans="32:45">
      <c r="AF387" s="96" t="s">
        <v>25</v>
      </c>
      <c r="AH387" s="256">
        <v>137</v>
      </c>
      <c r="AI387" s="256" t="s">
        <v>5460</v>
      </c>
      <c r="AJ387" s="247">
        <v>-110000000</v>
      </c>
      <c r="AK387" s="256">
        <v>1</v>
      </c>
      <c r="AL387" s="256">
        <f t="shared" si="112"/>
        <v>66</v>
      </c>
      <c r="AM387" s="256">
        <f t="shared" si="113"/>
        <v>-7260000000</v>
      </c>
      <c r="AN387" s="256"/>
    </row>
    <row r="388" spans="32:45">
      <c r="AH388" s="20">
        <v>138</v>
      </c>
      <c r="AI388" s="20" t="s">
        <v>5461</v>
      </c>
      <c r="AJ388" s="117">
        <v>-34000000</v>
      </c>
      <c r="AK388" s="20">
        <v>0</v>
      </c>
      <c r="AL388" s="20">
        <f t="shared" si="112"/>
        <v>65</v>
      </c>
      <c r="AM388" s="20">
        <f t="shared" si="113"/>
        <v>-2210000000</v>
      </c>
      <c r="AN388" s="20"/>
      <c r="AS388" t="s">
        <v>25</v>
      </c>
    </row>
    <row r="389" spans="32:45">
      <c r="AH389" s="149">
        <v>139</v>
      </c>
      <c r="AI389" s="149" t="s">
        <v>5461</v>
      </c>
      <c r="AJ389" s="188">
        <v>-23900000</v>
      </c>
      <c r="AK389" s="149">
        <v>5</v>
      </c>
      <c r="AL389" s="149">
        <f t="shared" ref="AL389:AL394" si="114">AK389+AL390</f>
        <v>65</v>
      </c>
      <c r="AM389" s="149">
        <f t="shared" ref="AM389:AM394" si="115">AJ389*AL389</f>
        <v>-1553500000</v>
      </c>
      <c r="AN389" s="149"/>
    </row>
    <row r="390" spans="32:45">
      <c r="AH390" s="20">
        <v>140</v>
      </c>
      <c r="AI390" s="20" t="s">
        <v>5478</v>
      </c>
      <c r="AJ390" s="117">
        <v>1000000</v>
      </c>
      <c r="AK390" s="20">
        <v>0</v>
      </c>
      <c r="AL390" s="20">
        <f t="shared" si="114"/>
        <v>60</v>
      </c>
      <c r="AM390" s="20">
        <f t="shared" si="115"/>
        <v>60000000</v>
      </c>
      <c r="AN390" s="20"/>
    </row>
    <row r="391" spans="32:45">
      <c r="AH391" s="149">
        <v>141</v>
      </c>
      <c r="AI391" s="149" t="s">
        <v>5478</v>
      </c>
      <c r="AJ391" s="188">
        <v>1000000</v>
      </c>
      <c r="AK391" s="149">
        <v>4</v>
      </c>
      <c r="AL391" s="149">
        <f t="shared" si="114"/>
        <v>60</v>
      </c>
      <c r="AM391" s="149">
        <f t="shared" si="115"/>
        <v>60000000</v>
      </c>
      <c r="AN391" s="149"/>
    </row>
    <row r="392" spans="32:45">
      <c r="AH392" s="20">
        <v>142</v>
      </c>
      <c r="AI392" s="20" t="s">
        <v>5484</v>
      </c>
      <c r="AJ392" s="117">
        <v>400000</v>
      </c>
      <c r="AK392" s="20">
        <v>0</v>
      </c>
      <c r="AL392" s="20">
        <f t="shared" si="114"/>
        <v>56</v>
      </c>
      <c r="AM392" s="20">
        <f t="shared" si="115"/>
        <v>22400000</v>
      </c>
      <c r="AN392" s="20"/>
    </row>
    <row r="393" spans="32:45">
      <c r="AH393" s="149">
        <v>143</v>
      </c>
      <c r="AI393" s="149" t="s">
        <v>5484</v>
      </c>
      <c r="AJ393" s="188">
        <v>400000</v>
      </c>
      <c r="AK393" s="149">
        <v>35</v>
      </c>
      <c r="AL393" s="149">
        <f t="shared" si="114"/>
        <v>56</v>
      </c>
      <c r="AM393" s="149">
        <f t="shared" si="115"/>
        <v>22400000</v>
      </c>
      <c r="AN393" s="149"/>
      <c r="AR393" t="s">
        <v>25</v>
      </c>
    </row>
    <row r="394" spans="32:45">
      <c r="AH394" s="20">
        <v>144</v>
      </c>
      <c r="AI394" s="20" t="s">
        <v>5534</v>
      </c>
      <c r="AJ394" s="117">
        <v>3000000</v>
      </c>
      <c r="AK394" s="20">
        <v>0</v>
      </c>
      <c r="AL394" s="20">
        <f t="shared" si="114"/>
        <v>21</v>
      </c>
      <c r="AM394" s="20">
        <f t="shared" si="115"/>
        <v>63000000</v>
      </c>
      <c r="AN394" s="20"/>
    </row>
    <row r="395" spans="32:45">
      <c r="AH395" s="149">
        <v>145</v>
      </c>
      <c r="AI395" s="149" t="s">
        <v>5534</v>
      </c>
      <c r="AJ395" s="188">
        <v>2725000</v>
      </c>
      <c r="AK395" s="149">
        <v>19</v>
      </c>
      <c r="AL395" s="149">
        <f t="shared" ref="AL395:AL402" si="116">AK395+AL396</f>
        <v>21</v>
      </c>
      <c r="AM395" s="149">
        <f t="shared" ref="AM395:AM402" si="117">AJ395*AL395</f>
        <v>57225000</v>
      </c>
      <c r="AN395" s="149"/>
    </row>
    <row r="396" spans="32:45">
      <c r="AH396" s="149">
        <v>146</v>
      </c>
      <c r="AI396" s="149" t="s">
        <v>5408</v>
      </c>
      <c r="AJ396" s="188">
        <v>-8644090</v>
      </c>
      <c r="AK396" s="149">
        <v>0</v>
      </c>
      <c r="AL396" s="149">
        <f t="shared" si="116"/>
        <v>2</v>
      </c>
      <c r="AM396" s="149">
        <f t="shared" si="117"/>
        <v>-17288180</v>
      </c>
      <c r="AN396" s="149" t="s">
        <v>4793</v>
      </c>
    </row>
    <row r="397" spans="32:45">
      <c r="AH397" s="20">
        <v>147</v>
      </c>
      <c r="AI397" s="20" t="s">
        <v>5408</v>
      </c>
      <c r="AJ397" s="117">
        <v>-65461942</v>
      </c>
      <c r="AK397" s="20">
        <v>1</v>
      </c>
      <c r="AL397" s="20">
        <f t="shared" si="116"/>
        <v>2</v>
      </c>
      <c r="AM397" s="20">
        <f t="shared" si="117"/>
        <v>-130923884</v>
      </c>
      <c r="AN397" s="20" t="s">
        <v>4793</v>
      </c>
    </row>
    <row r="398" spans="32:45">
      <c r="AH398" s="20">
        <v>148</v>
      </c>
      <c r="AI398" s="20" t="s">
        <v>5584</v>
      </c>
      <c r="AJ398" s="117">
        <v>35000000</v>
      </c>
      <c r="AK398" s="20">
        <v>1</v>
      </c>
      <c r="AL398" s="20">
        <f t="shared" si="116"/>
        <v>1</v>
      </c>
      <c r="AM398" s="20">
        <f t="shared" si="117"/>
        <v>35000000</v>
      </c>
      <c r="AN398" s="20"/>
    </row>
    <row r="399" spans="32:45">
      <c r="AH399" s="20"/>
      <c r="AI399" s="20"/>
      <c r="AJ399" s="117"/>
      <c r="AK399" s="20"/>
      <c r="AL399" s="20">
        <f t="shared" si="116"/>
        <v>0</v>
      </c>
      <c r="AM399" s="20">
        <f t="shared" si="117"/>
        <v>0</v>
      </c>
      <c r="AN399" s="20"/>
    </row>
    <row r="400" spans="32:45">
      <c r="AH400" s="20"/>
      <c r="AI400" s="20"/>
      <c r="AJ400" s="117"/>
      <c r="AK400" s="20"/>
      <c r="AL400" s="20">
        <f t="shared" si="116"/>
        <v>0</v>
      </c>
      <c r="AM400" s="20">
        <f t="shared" si="117"/>
        <v>0</v>
      </c>
      <c r="AN400" s="20"/>
    </row>
    <row r="401" spans="34:40">
      <c r="AH401" s="20"/>
      <c r="AI401" s="20"/>
      <c r="AJ401" s="117"/>
      <c r="AK401" s="20"/>
      <c r="AL401" s="20">
        <f t="shared" si="116"/>
        <v>0</v>
      </c>
      <c r="AM401" s="20">
        <f t="shared" si="117"/>
        <v>0</v>
      </c>
      <c r="AN401" s="20"/>
    </row>
    <row r="402" spans="34:40">
      <c r="AH402" s="99"/>
      <c r="AI402" s="99"/>
      <c r="AJ402" s="117"/>
      <c r="AK402" s="99"/>
      <c r="AL402" s="20">
        <f t="shared" si="116"/>
        <v>0</v>
      </c>
      <c r="AM402" s="20">
        <f t="shared" si="117"/>
        <v>0</v>
      </c>
      <c r="AN402" s="20"/>
    </row>
    <row r="403" spans="34:40">
      <c r="AH403" s="99"/>
      <c r="AI403" s="99"/>
      <c r="AJ403" s="117"/>
      <c r="AK403" s="99"/>
      <c r="AL403" s="20">
        <f t="shared" si="100"/>
        <v>0</v>
      </c>
      <c r="AM403" s="20">
        <f t="shared" si="101"/>
        <v>0</v>
      </c>
      <c r="AN403" s="99"/>
    </row>
    <row r="404" spans="34:40">
      <c r="AH404" s="99"/>
      <c r="AI404" s="99"/>
      <c r="AJ404" s="95">
        <f>SUM(AJ251:AJ403)</f>
        <v>133909705</v>
      </c>
      <c r="AK404" s="99"/>
      <c r="AL404" s="99"/>
      <c r="AM404" s="99">
        <f>SUM(AM251:AM403)</f>
        <v>165435361804</v>
      </c>
      <c r="AN404" s="95">
        <f>AM404*AN237/31</f>
        <v>88945521.780234456</v>
      </c>
    </row>
    <row r="405" spans="34:40">
      <c r="AJ405" t="s">
        <v>4055</v>
      </c>
      <c r="AM405" t="s">
        <v>284</v>
      </c>
      <c r="AN405" t="s">
        <v>940</v>
      </c>
    </row>
    <row r="407" spans="34:40">
      <c r="AI407" t="s">
        <v>4057</v>
      </c>
      <c r="AJ407" s="114">
        <f>AJ404+AN404</f>
        <v>222855226.78023446</v>
      </c>
    </row>
    <row r="408" spans="34:40">
      <c r="AI408" t="s">
        <v>4060</v>
      </c>
      <c r="AJ408" s="114">
        <f>SUM(N20:N27)</f>
        <v>2065044090.2</v>
      </c>
    </row>
    <row r="409" spans="34:40">
      <c r="AI409" t="s">
        <v>4132</v>
      </c>
      <c r="AJ409" s="114">
        <f>AJ408-AJ404</f>
        <v>1931134385.2</v>
      </c>
    </row>
    <row r="410" spans="34:40">
      <c r="AI410" t="s">
        <v>940</v>
      </c>
      <c r="AJ410" s="114">
        <f>AN404</f>
        <v>88945521.780234456</v>
      </c>
    </row>
    <row r="411" spans="34:40">
      <c r="AI411" t="s">
        <v>4061</v>
      </c>
      <c r="AJ411" s="114">
        <f>AJ409-AJ410</f>
        <v>1842188863.4197655</v>
      </c>
      <c r="AM411" t="s">
        <v>25</v>
      </c>
      <c r="AN411" t="s">
        <v>25</v>
      </c>
    </row>
    <row r="412" spans="34:40">
      <c r="AL412" t="s">
        <v>25</v>
      </c>
      <c r="AM412" t="s">
        <v>25</v>
      </c>
      <c r="AN412" t="s">
        <v>25</v>
      </c>
    </row>
    <row r="415" spans="34:40">
      <c r="AN415" t="s">
        <v>25</v>
      </c>
    </row>
    <row r="416" spans="34:40">
      <c r="AN416"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1:G114 G116 G122:G123 G125:G129 G154:G168 G131:G134 G138:G152 G176:G1048576 G96:G105">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35">
    <cfRule type="cellIs" dxfId="4" priority="1" operator="lessThan">
      <formula>0</formula>
    </cfRule>
  </conditionalFormatting>
  <pageMargins left="0.7" right="0.7" top="0.75" bottom="0.75" header="0.3" footer="0.3"/>
  <pageSetup orientation="portrait" r:id="rId1"/>
  <ignoredErrors>
    <ignoredError sqref="N10" formulaRange="1"/>
    <ignoredError sqref="S22 S96 G117 S65 P26 S113 P22 S124:S127 S38 S42 S131 S133 S40 S122"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2020-05-06T04:55:05Z</dcterms:modified>
</cp:coreProperties>
</file>