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8"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M101" i="63" l="1"/>
  <c r="M102" i="63"/>
  <c r="N330" i="52" l="1"/>
  <c r="O330" i="52"/>
  <c r="N331" i="52"/>
  <c r="O331" i="52"/>
  <c r="N332" i="52"/>
  <c r="O332" i="52"/>
  <c r="N333" i="52"/>
  <c r="O333" i="52"/>
  <c r="P333" i="52"/>
  <c r="N334" i="52"/>
  <c r="P334" i="52" s="1"/>
  <c r="O334" i="52"/>
  <c r="N335" i="52"/>
  <c r="P335" i="52" s="1"/>
  <c r="O335" i="52"/>
  <c r="N336" i="52"/>
  <c r="O336" i="52"/>
  <c r="P336" i="52"/>
  <c r="N337" i="52"/>
  <c r="O337" i="52"/>
  <c r="P337" i="52"/>
  <c r="N338" i="52"/>
  <c r="O338" i="52"/>
  <c r="P338" i="52"/>
  <c r="N339" i="52"/>
  <c r="P339" i="52" s="1"/>
  <c r="O339" i="52"/>
  <c r="N340" i="52"/>
  <c r="P340" i="52" s="1"/>
  <c r="O340" i="52"/>
  <c r="N341" i="52"/>
  <c r="O341" i="52"/>
  <c r="P341" i="52"/>
  <c r="N342" i="52"/>
  <c r="P342" i="52" s="1"/>
  <c r="O342" i="52"/>
  <c r="N343" i="52"/>
  <c r="P343" i="52" s="1"/>
  <c r="O343" i="52"/>
  <c r="N344" i="52"/>
  <c r="O344" i="52"/>
  <c r="P344" i="52"/>
  <c r="N345" i="52"/>
  <c r="O345" i="52"/>
  <c r="P345" i="52"/>
  <c r="N346" i="52"/>
  <c r="O346" i="52"/>
  <c r="P346" i="52"/>
  <c r="N347" i="52"/>
  <c r="P347" i="52" s="1"/>
  <c r="O347" i="52"/>
  <c r="N348" i="52"/>
  <c r="P348" i="52" s="1"/>
  <c r="O348" i="52"/>
  <c r="N349" i="52"/>
  <c r="O349" i="52"/>
  <c r="P349" i="52"/>
  <c r="N350" i="52"/>
  <c r="P350" i="52" s="1"/>
  <c r="O350" i="52"/>
  <c r="N351" i="52"/>
  <c r="P351" i="52" s="1"/>
  <c r="O351" i="52"/>
  <c r="N352" i="52"/>
  <c r="O352" i="52"/>
  <c r="P352" i="52"/>
  <c r="N353" i="52"/>
  <c r="O353" i="52"/>
  <c r="P353" i="52"/>
  <c r="N354" i="52"/>
  <c r="O354" i="52"/>
  <c r="P354" i="52"/>
  <c r="N355" i="52"/>
  <c r="P355" i="52" s="1"/>
  <c r="O355" i="52"/>
  <c r="N356" i="52"/>
  <c r="P356" i="52" s="1"/>
  <c r="O356" i="52"/>
  <c r="N357" i="52"/>
  <c r="O357" i="52"/>
  <c r="P357" i="52"/>
  <c r="N358" i="52"/>
  <c r="P358" i="52" s="1"/>
  <c r="O358" i="52"/>
  <c r="N359" i="52"/>
  <c r="P359" i="52" s="1"/>
  <c r="O359" i="52"/>
  <c r="N360" i="52"/>
  <c r="O360" i="52"/>
  <c r="P360" i="52"/>
  <c r="N361" i="52"/>
  <c r="O361" i="52"/>
  <c r="P361" i="52"/>
  <c r="N362" i="52"/>
  <c r="O362" i="52"/>
  <c r="P362" i="52"/>
  <c r="N363" i="52"/>
  <c r="P363" i="52" s="1"/>
  <c r="O363" i="52"/>
  <c r="N364" i="52"/>
  <c r="P364" i="52" s="1"/>
  <c r="O364" i="52"/>
  <c r="N365" i="52"/>
  <c r="O365" i="52"/>
  <c r="P365" i="52"/>
  <c r="N366" i="52"/>
  <c r="P366" i="52" s="1"/>
  <c r="O366" i="52"/>
  <c r="N367" i="52"/>
  <c r="P367" i="52" s="1"/>
  <c r="O367" i="52"/>
  <c r="N368" i="52"/>
  <c r="O368" i="52"/>
  <c r="P368" i="52"/>
  <c r="J330" i="52"/>
  <c r="J331" i="52"/>
  <c r="J332" i="52"/>
  <c r="J333"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C110" i="63"/>
  <c r="M76" i="63"/>
  <c r="P332" i="52" l="1"/>
  <c r="P331" i="52"/>
  <c r="J327" i="52"/>
  <c r="O327" i="52"/>
  <c r="N76" i="63" l="1"/>
  <c r="C107" i="63" s="1"/>
  <c r="C108" i="63" l="1"/>
  <c r="C105" i="63"/>
  <c r="C100" i="63"/>
  <c r="C95" i="63"/>
  <c r="C106" i="63"/>
  <c r="C96" i="63"/>
  <c r="C104" i="63"/>
  <c r="C97" i="63"/>
  <c r="C101" i="63"/>
  <c r="C90" i="63"/>
  <c r="C98" i="63"/>
  <c r="C102" i="63"/>
  <c r="C93" i="63"/>
  <c r="C99" i="63"/>
  <c r="C103" i="63"/>
  <c r="L14" i="60"/>
  <c r="R187" i="18" l="1"/>
  <c r="G111" i="63" l="1"/>
  <c r="G110" i="63"/>
  <c r="G106" i="63"/>
  <c r="H106" i="63"/>
  <c r="I106" i="63"/>
  <c r="G107" i="63"/>
  <c r="H107" i="63"/>
  <c r="I107" i="63"/>
  <c r="G108" i="63"/>
  <c r="H108" i="63"/>
  <c r="I108" i="63"/>
  <c r="G109" i="63"/>
  <c r="H109" i="63"/>
  <c r="I109" i="63"/>
  <c r="G105" i="63"/>
  <c r="H111" i="63" l="1"/>
  <c r="I111" i="63"/>
  <c r="I110" i="63"/>
  <c r="H110" i="63"/>
  <c r="I112" i="63"/>
  <c r="H112" i="63"/>
  <c r="I105" i="63"/>
  <c r="H105" i="63"/>
  <c r="N101" i="63" l="1"/>
  <c r="N102" i="63"/>
  <c r="G101" i="63"/>
  <c r="H101" i="63"/>
  <c r="I101" i="63"/>
  <c r="G102" i="63"/>
  <c r="H102" i="63"/>
  <c r="I102" i="63"/>
  <c r="G103" i="63"/>
  <c r="H103" i="63"/>
  <c r="I103" i="63"/>
  <c r="G104" i="63"/>
  <c r="H104" i="63"/>
  <c r="I104" i="63"/>
  <c r="G112" i="63"/>
  <c r="P24" i="18" l="1"/>
  <c r="N24" i="18" s="1"/>
  <c r="G100" i="63" l="1"/>
  <c r="H100" i="63"/>
  <c r="I100" i="63"/>
  <c r="N45" i="18" l="1"/>
  <c r="M105" i="18" s="1"/>
  <c r="F48" i="60" l="1"/>
  <c r="F47" i="60"/>
  <c r="D48" i="60"/>
  <c r="D47" i="60"/>
  <c r="L48" i="18"/>
  <c r="Y113" i="63" l="1"/>
  <c r="Y99" i="63"/>
  <c r="Y98" i="63"/>
  <c r="Y97" i="63"/>
  <c r="X110" i="63"/>
  <c r="Y110" i="63" s="1"/>
  <c r="R185" i="18"/>
  <c r="I99" i="63"/>
  <c r="H99" i="63"/>
  <c r="G99" i="63"/>
  <c r="I98" i="63"/>
  <c r="H98" i="63"/>
  <c r="G98" i="63"/>
  <c r="I97" i="63"/>
  <c r="H97" i="63"/>
  <c r="G97" i="63"/>
  <c r="I96" i="63"/>
  <c r="H96" i="63"/>
  <c r="G96" i="63"/>
  <c r="I95" i="63"/>
  <c r="H95" i="63"/>
  <c r="G95" i="63"/>
  <c r="I94" i="63"/>
  <c r="H94" i="63"/>
  <c r="G94" i="63"/>
  <c r="J319" i="52"/>
  <c r="I93" i="63"/>
  <c r="H93" i="63"/>
  <c r="G93" i="63"/>
  <c r="N44" i="18" l="1"/>
  <c r="O319" i="52"/>
  <c r="P23" i="18"/>
  <c r="N23" i="18" s="1"/>
  <c r="P28" i="18"/>
  <c r="N28" i="18" s="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7" i="18"/>
  <c r="W327" i="18" l="1"/>
  <c r="H86" i="63"/>
  <c r="I86" i="63" l="1"/>
  <c r="G140" i="18"/>
  <c r="J140" i="18" s="1"/>
  <c r="W346" i="18" l="1"/>
  <c r="H83" i="63"/>
  <c r="I83" i="63"/>
  <c r="H82" i="63"/>
  <c r="I82" i="63"/>
  <c r="R67" i="63"/>
  <c r="R66" i="63"/>
  <c r="R69" i="63" l="1"/>
  <c r="S231" i="18" l="1"/>
  <c r="X113" i="63"/>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P319" i="52" s="1"/>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2" i="52" l="1"/>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45" i="18"/>
  <c r="D418" i="15" l="1"/>
  <c r="F419" i="15"/>
  <c r="F418" i="15" l="1"/>
  <c r="D417" i="15"/>
  <c r="I79" i="63"/>
  <c r="H78" i="63"/>
  <c r="I78" i="63"/>
  <c r="I77" i="63"/>
  <c r="W344" i="18"/>
  <c r="O305" i="52"/>
  <c r="J305" i="52"/>
  <c r="D416" i="15" l="1"/>
  <c r="F417" i="15"/>
  <c r="D415" i="15" l="1"/>
  <c r="F416" i="15"/>
  <c r="W343" i="18"/>
  <c r="W342" i="18"/>
  <c r="O302" i="52"/>
  <c r="J141" i="18"/>
  <c r="F415" i="15" l="1"/>
  <c r="D414" i="15"/>
  <c r="G139" i="18"/>
  <c r="D413" i="15" l="1"/>
  <c r="F414" i="15"/>
  <c r="V367" i="18"/>
  <c r="D412" i="15" l="1"/>
  <c r="F413" i="15"/>
  <c r="W341" i="18"/>
  <c r="O301" i="52"/>
  <c r="J139" i="18"/>
  <c r="F412" i="15" l="1"/>
  <c r="D411" i="15"/>
  <c r="J144" i="18"/>
  <c r="I144" i="18" s="1"/>
  <c r="D410" i="15" l="1"/>
  <c r="F411" i="15"/>
  <c r="W340" i="18"/>
  <c r="W339" i="18"/>
  <c r="J300" i="52"/>
  <c r="F410" i="15" l="1"/>
  <c r="D409" i="15"/>
  <c r="W338" i="18"/>
  <c r="O299" i="52"/>
  <c r="W337" i="18"/>
  <c r="W33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9" i="18"/>
  <c r="X360" i="18" s="1"/>
  <c r="X355" i="18"/>
  <c r="X356" i="18" s="1"/>
  <c r="D408" i="15" l="1"/>
  <c r="F409" i="15"/>
  <c r="X358" i="18"/>
  <c r="X357" i="18"/>
  <c r="W335" i="18"/>
  <c r="U348" i="18"/>
  <c r="W334" i="18"/>
  <c r="W333" i="18"/>
  <c r="P27" i="18"/>
  <c r="N27" i="18" s="1"/>
  <c r="O298" i="52"/>
  <c r="D407" i="15" l="1"/>
  <c r="F408" i="15"/>
  <c r="W168" i="18"/>
  <c r="W164" i="18"/>
  <c r="W166" i="18"/>
  <c r="J298" i="52"/>
  <c r="AL222" i="18"/>
  <c r="AM222" i="18" s="1"/>
  <c r="AL223" i="18"/>
  <c r="AM223" i="18" s="1"/>
  <c r="AL224" i="18"/>
  <c r="AM224" i="18" s="1"/>
  <c r="AL225" i="18"/>
  <c r="AM225" i="18" s="1"/>
  <c r="F407" i="15" l="1"/>
  <c r="D406" i="15"/>
  <c r="O297" i="52"/>
  <c r="W332" i="18"/>
  <c r="W331" i="18"/>
  <c r="W330" i="18"/>
  <c r="D405" i="15" l="1"/>
  <c r="F406" i="15"/>
  <c r="T369" i="18"/>
  <c r="T371" i="18" s="1"/>
  <c r="W329" i="18"/>
  <c r="J296" i="52"/>
  <c r="D404" i="15" l="1"/>
  <c r="F405" i="15"/>
  <c r="J295" i="52"/>
  <c r="F404" i="15" l="1"/>
  <c r="D403" i="15"/>
  <c r="W328" i="18"/>
  <c r="D402" i="15" l="1"/>
  <c r="F403" i="15"/>
  <c r="O296" i="52"/>
  <c r="K110" i="18"/>
  <c r="N109"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6"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6" i="18"/>
  <c r="D396" i="15" l="1"/>
  <c r="F397" i="15"/>
  <c r="P42" i="18"/>
  <c r="N42" i="18" s="1"/>
  <c r="O286" i="52"/>
  <c r="L51"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P299" i="52" s="1"/>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300" i="52" l="1"/>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5" i="18"/>
  <c r="J279" i="52"/>
  <c r="AL220" i="18"/>
  <c r="AM220" i="18" s="1"/>
  <c r="D391" i="15" l="1"/>
  <c r="F392" i="15"/>
  <c r="J278" i="52"/>
  <c r="O278" i="52"/>
  <c r="F391" i="15" l="1"/>
  <c r="D390" i="15"/>
  <c r="I156" i="18"/>
  <c r="J277" i="52"/>
  <c r="O277" i="52"/>
  <c r="D389" i="15" l="1"/>
  <c r="F390" i="15"/>
  <c r="I158" i="18"/>
  <c r="E366" i="15"/>
  <c r="E367" i="15"/>
  <c r="E368" i="15"/>
  <c r="E369" i="15"/>
  <c r="E370" i="15"/>
  <c r="E371" i="15"/>
  <c r="E372" i="15"/>
  <c r="E373" i="15"/>
  <c r="E374" i="15"/>
  <c r="E375" i="15"/>
  <c r="E376" i="15"/>
  <c r="E377" i="15"/>
  <c r="O276" i="52"/>
  <c r="J276" i="52"/>
  <c r="W324" i="18"/>
  <c r="D388" i="15" l="1"/>
  <c r="F389" i="15"/>
  <c r="J275" i="52"/>
  <c r="F388" i="15" l="1"/>
  <c r="D387" i="15"/>
  <c r="W323" i="18"/>
  <c r="D386" i="15" l="1"/>
  <c r="F387" i="15"/>
  <c r="J274" i="52"/>
  <c r="F386" i="15" l="1"/>
  <c r="D385" i="15"/>
  <c r="W322" i="18"/>
  <c r="D384" i="15" l="1"/>
  <c r="F385" i="15"/>
  <c r="J271" i="52"/>
  <c r="D383" i="15" l="1"/>
  <c r="F384" i="15"/>
  <c r="J152" i="18"/>
  <c r="W321" i="18"/>
  <c r="G151" i="18"/>
  <c r="J151" i="18" s="1"/>
  <c r="N43" i="18"/>
  <c r="F383" i="15" l="1"/>
  <c r="D382" i="15"/>
  <c r="O269" i="52"/>
  <c r="F382" i="15" l="1"/>
  <c r="D381" i="15"/>
  <c r="J268" i="52"/>
  <c r="N268" i="52"/>
  <c r="W32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9" i="18"/>
  <c r="W31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16" i="18"/>
  <c r="W315" i="18"/>
  <c r="W314" i="18"/>
  <c r="D364" i="15" l="1"/>
  <c r="F365" i="15"/>
  <c r="O223" i="52"/>
  <c r="W313" i="18"/>
  <c r="F364" i="15" l="1"/>
  <c r="D363" i="15"/>
  <c r="J222" i="52"/>
  <c r="W312" i="18"/>
  <c r="D362" i="15" l="1"/>
  <c r="F363" i="15"/>
  <c r="W311" i="18"/>
  <c r="W310" i="18"/>
  <c r="D361" i="15" l="1"/>
  <c r="F362" i="15"/>
  <c r="O220" i="52"/>
  <c r="F361" i="15" l="1"/>
  <c r="D360" i="15"/>
  <c r="W309" i="18"/>
  <c r="W308"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3"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0" i="18"/>
  <c r="J150" i="18" s="1"/>
  <c r="G149" i="18"/>
  <c r="J158" i="18" s="1"/>
  <c r="W306" i="18"/>
  <c r="J157" i="18" l="1"/>
  <c r="J160" i="18" s="1"/>
  <c r="J156" i="18"/>
  <c r="J149" i="18"/>
  <c r="I153" i="18" s="1"/>
  <c r="F348" i="15"/>
  <c r="D347" i="15"/>
  <c r="O210" i="52"/>
  <c r="W305" i="18"/>
  <c r="D346" i="15" l="1"/>
  <c r="F347" i="15"/>
  <c r="J210" i="52"/>
  <c r="D345" i="15" l="1"/>
  <c r="F346" i="15"/>
  <c r="J209" i="52"/>
  <c r="O208" i="52"/>
  <c r="J208" i="52"/>
  <c r="D344" i="15" l="1"/>
  <c r="F345" i="15"/>
  <c r="W304" i="18"/>
  <c r="F344" i="15" l="1"/>
  <c r="D343" i="15"/>
  <c r="O207" i="52"/>
  <c r="J207" i="52"/>
  <c r="W303" i="18"/>
  <c r="D342" i="15" l="1"/>
  <c r="F343" i="15"/>
  <c r="W302" i="18"/>
  <c r="D341" i="15" l="1"/>
  <c r="F342" i="15"/>
  <c r="W301" i="18"/>
  <c r="D340" i="15" l="1"/>
  <c r="F341" i="15"/>
  <c r="O204" i="52"/>
  <c r="F340" i="15" l="1"/>
  <c r="D339" i="15"/>
  <c r="J203" i="52"/>
  <c r="W30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299" i="18"/>
  <c r="W298" i="18"/>
  <c r="W297" i="18"/>
  <c r="J202" i="52"/>
  <c r="D336" i="15" l="1"/>
  <c r="F337" i="15"/>
  <c r="W296" i="18"/>
  <c r="J201" i="52"/>
  <c r="W295" i="18"/>
  <c r="F336" i="15" l="1"/>
  <c r="D335" i="15"/>
  <c r="J200" i="52"/>
  <c r="D334" i="15" l="1"/>
  <c r="F335" i="15"/>
  <c r="W294" i="18"/>
  <c r="W293" i="18"/>
  <c r="AL233" i="18"/>
  <c r="AL221" i="18" s="1"/>
  <c r="AM221" i="18" s="1"/>
  <c r="F334" i="15" l="1"/>
  <c r="D333" i="15"/>
  <c r="AM233" i="18"/>
  <c r="W292"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1" i="18"/>
  <c r="AM217" i="18" l="1"/>
  <c r="AL216" i="18"/>
  <c r="F330" i="15"/>
  <c r="D329" i="15"/>
  <c r="AM216" i="18" l="1"/>
  <c r="AL215" i="18"/>
  <c r="D328" i="15"/>
  <c r="F329" i="15"/>
  <c r="W290" i="18"/>
  <c r="AL214" i="18" l="1"/>
  <c r="AM215" i="18"/>
  <c r="D327" i="15"/>
  <c r="F328" i="15"/>
  <c r="W289" i="18"/>
  <c r="AM214" i="18" l="1"/>
  <c r="AL213" i="18"/>
  <c r="F327" i="15"/>
  <c r="D326" i="15"/>
  <c r="AL212" i="18" l="1"/>
  <c r="AM213" i="18"/>
  <c r="F326" i="15"/>
  <c r="D325" i="15"/>
  <c r="J195" i="52"/>
  <c r="O195" i="52"/>
  <c r="J194" i="52"/>
  <c r="W288" i="18"/>
  <c r="AL211" i="18" l="1"/>
  <c r="AM212" i="18"/>
  <c r="F325" i="15"/>
  <c r="D324" i="15"/>
  <c r="N194" i="52"/>
  <c r="W287" i="18"/>
  <c r="W286" i="18"/>
  <c r="AL210" i="18" l="1"/>
  <c r="AM211" i="18"/>
  <c r="F324" i="15"/>
  <c r="D323" i="15"/>
  <c r="W285" i="18"/>
  <c r="AM210" i="18" l="1"/>
  <c r="AL209" i="18"/>
  <c r="F323" i="15"/>
  <c r="D322" i="15"/>
  <c r="R159" i="18"/>
  <c r="AL208" i="18" l="1"/>
  <c r="AM209" i="18"/>
  <c r="F322" i="15"/>
  <c r="D321" i="15"/>
  <c r="W284" i="18"/>
  <c r="AM208" i="18" l="1"/>
  <c r="AL207" i="18"/>
  <c r="F321" i="15"/>
  <c r="D320" i="15"/>
  <c r="W283" i="18"/>
  <c r="O190" i="52"/>
  <c r="J190" i="52"/>
  <c r="AL206" i="18" l="1"/>
  <c r="AM207" i="18"/>
  <c r="F320" i="15"/>
  <c r="D319" i="15"/>
  <c r="W282" i="18"/>
  <c r="AM206" i="18" l="1"/>
  <c r="AL205" i="18"/>
  <c r="F319" i="15"/>
  <c r="D318" i="15"/>
  <c r="N51" i="18"/>
  <c r="N49" i="18"/>
  <c r="AM205" i="18" l="1"/>
  <c r="AL204" i="18"/>
  <c r="F318" i="15"/>
  <c r="D317" i="15"/>
  <c r="O187" i="52"/>
  <c r="W281" i="18"/>
  <c r="AM204" i="18" l="1"/>
  <c r="AL203" i="18"/>
  <c r="F317" i="15"/>
  <c r="D316" i="15"/>
  <c r="J186" i="52"/>
  <c r="W280" i="18"/>
  <c r="W268" i="18"/>
  <c r="W267" i="18"/>
  <c r="AM203" i="18" l="1"/>
  <c r="AL202" i="18"/>
  <c r="F316" i="15"/>
  <c r="D315" i="15"/>
  <c r="J185" i="52"/>
  <c r="W279" i="18"/>
  <c r="AM202" i="18" l="1"/>
  <c r="AL201" i="18"/>
  <c r="F315" i="15"/>
  <c r="D314" i="15"/>
  <c r="AL200" i="18" l="1"/>
  <c r="AM201" i="18"/>
  <c r="F314" i="15"/>
  <c r="D313" i="15"/>
  <c r="AL199" i="18" l="1"/>
  <c r="AM200" i="18"/>
  <c r="F313" i="15"/>
  <c r="D312" i="15"/>
  <c r="N181" i="52"/>
  <c r="AL198" i="18" l="1"/>
  <c r="AM199" i="18"/>
  <c r="F312" i="15"/>
  <c r="D311" i="15"/>
  <c r="W278" i="18"/>
  <c r="B8" i="36"/>
  <c r="AL197" i="18" l="1"/>
  <c r="AM198" i="18"/>
  <c r="F311" i="15"/>
  <c r="D310" i="15"/>
  <c r="O178" i="52"/>
  <c r="J178" i="52"/>
  <c r="AM197" i="18" l="1"/>
  <c r="AL196" i="18"/>
  <c r="F310" i="15"/>
  <c r="D309" i="15"/>
  <c r="N46" i="18"/>
  <c r="M104" i="18" s="1"/>
  <c r="W277" i="18"/>
  <c r="O177" i="52"/>
  <c r="J177" i="52"/>
  <c r="O104" i="18" l="1"/>
  <c r="P104" i="18" s="1"/>
  <c r="AM196" i="18"/>
  <c r="AL195" i="18"/>
  <c r="F309" i="15"/>
  <c r="D308" i="15"/>
  <c r="O176" i="52"/>
  <c r="J176" i="52"/>
  <c r="AM195" i="18" l="1"/>
  <c r="AL194" i="18"/>
  <c r="F308" i="15"/>
  <c r="D307" i="15"/>
  <c r="F307" i="15" s="1"/>
  <c r="AM194" i="18" l="1"/>
  <c r="AL193" i="18"/>
  <c r="J174" i="52"/>
  <c r="W276" i="18"/>
  <c r="AM193" i="18" l="1"/>
  <c r="AL192" i="18"/>
  <c r="J168" i="52"/>
  <c r="O168" i="52"/>
  <c r="W275" i="18"/>
  <c r="AM192" i="18" l="1"/>
  <c r="AL191" i="18"/>
  <c r="AM191" i="18" s="1"/>
  <c r="AL397" i="18"/>
  <c r="AL396" i="18" s="1"/>
  <c r="AL395" i="18" s="1"/>
  <c r="O167" i="52"/>
  <c r="W274" i="18"/>
  <c r="AL394" i="18" l="1"/>
  <c r="AM395" i="18"/>
  <c r="AM396" i="18"/>
  <c r="AM397" i="18"/>
  <c r="O166" i="52"/>
  <c r="W273" i="18"/>
  <c r="AM394" i="18" l="1"/>
  <c r="AL393" i="18"/>
  <c r="W272" i="18"/>
  <c r="O165" i="52"/>
  <c r="J165" i="52"/>
  <c r="AM393" i="18" l="1"/>
  <c r="AL392" i="18"/>
  <c r="C7" i="60"/>
  <c r="D3" i="60"/>
  <c r="D4" i="60"/>
  <c r="D5" i="60"/>
  <c r="D2" i="60"/>
  <c r="F2" i="60"/>
  <c r="AL391" i="18" l="1"/>
  <c r="AM392" i="18"/>
  <c r="O162" i="52"/>
  <c r="J162" i="52"/>
  <c r="W271" i="18"/>
  <c r="AM391" i="18" l="1"/>
  <c r="AL390"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90" i="18"/>
  <c r="AL389" i="18"/>
  <c r="P203" i="52"/>
  <c r="P204" i="52"/>
  <c r="P201" i="52"/>
  <c r="P200" i="52"/>
  <c r="P190" i="52"/>
  <c r="P187" i="52"/>
  <c r="P177" i="52"/>
  <c r="P186" i="52"/>
  <c r="P185" i="52"/>
  <c r="P176" i="52"/>
  <c r="P162" i="52"/>
  <c r="P166" i="52"/>
  <c r="P174" i="52"/>
  <c r="P168" i="52"/>
  <c r="P165" i="52"/>
  <c r="P167" i="52"/>
  <c r="O160" i="52"/>
  <c r="J160" i="52"/>
  <c r="N160" i="52"/>
  <c r="AM389" i="18" l="1"/>
  <c r="AL388" i="18"/>
  <c r="W270" i="18"/>
  <c r="AM388" i="18" l="1"/>
  <c r="AL387" i="18"/>
  <c r="W269" i="18"/>
  <c r="AM387" i="18" l="1"/>
  <c r="AL386" i="18"/>
  <c r="AL190" i="18"/>
  <c r="AM386" i="18" l="1"/>
  <c r="AL385" i="18"/>
  <c r="AL189" i="18"/>
  <c r="AM190" i="18"/>
  <c r="N159" i="52"/>
  <c r="P160" i="52" s="1"/>
  <c r="W266" i="18"/>
  <c r="AL384" i="18" l="1"/>
  <c r="AM38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4" i="18" l="1"/>
  <c r="AL383" i="18"/>
  <c r="AL187" i="18"/>
  <c r="AM188" i="18"/>
  <c r="AM383" i="18" l="1"/>
  <c r="AL382" i="18"/>
  <c r="AM187" i="18"/>
  <c r="AL186" i="18"/>
  <c r="J151" i="52"/>
  <c r="AL381" i="18" l="1"/>
  <c r="AM382" i="18"/>
  <c r="AL185" i="18"/>
  <c r="AM186" i="18"/>
  <c r="W265" i="18"/>
  <c r="W264" i="18"/>
  <c r="O150" i="52"/>
  <c r="AM381" i="18" l="1"/>
  <c r="AL380" i="18"/>
  <c r="AM185" i="18"/>
  <c r="AL184" i="18"/>
  <c r="AL379" i="18" l="1"/>
  <c r="AM380" i="18"/>
  <c r="AL183" i="18"/>
  <c r="AM184" i="18"/>
  <c r="Q146" i="52"/>
  <c r="J146" i="52"/>
  <c r="W26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9" i="18" l="1"/>
  <c r="AL378" i="18"/>
  <c r="AM183" i="18"/>
  <c r="AL182" i="18"/>
  <c r="P151" i="52"/>
  <c r="P150" i="52"/>
  <c r="P157" i="52"/>
  <c r="P148" i="52"/>
  <c r="P158" i="52"/>
  <c r="P156" i="52"/>
  <c r="P155" i="52"/>
  <c r="P154" i="52"/>
  <c r="P153" i="52"/>
  <c r="P152" i="52"/>
  <c r="P149" i="52"/>
  <c r="P147" i="52"/>
  <c r="O145" i="52"/>
  <c r="J145" i="52"/>
  <c r="J144" i="52"/>
  <c r="J143" i="52"/>
  <c r="AL377" i="18" l="1"/>
  <c r="AM378" i="18"/>
  <c r="AL181" i="18"/>
  <c r="AM182" i="18"/>
  <c r="W262" i="18"/>
  <c r="AL376" i="18" l="1"/>
  <c r="AM377" i="18"/>
  <c r="AM181" i="18"/>
  <c r="AL180" i="18"/>
  <c r="G133" i="18"/>
  <c r="J133" i="18" s="1"/>
  <c r="J135" i="18" s="1"/>
  <c r="I135" i="18" s="1"/>
  <c r="G127" i="18"/>
  <c r="J127" i="18" s="1"/>
  <c r="W261" i="18"/>
  <c r="AM376" i="18" l="1"/>
  <c r="AL375" i="18"/>
  <c r="J129" i="18"/>
  <c r="I129" i="18" s="1"/>
  <c r="AM180" i="18"/>
  <c r="AL179" i="18"/>
  <c r="O142" i="52"/>
  <c r="J142" i="52"/>
  <c r="W260" i="18"/>
  <c r="AL374" i="18" l="1"/>
  <c r="AM375" i="18"/>
  <c r="P105" i="18"/>
  <c r="AM179" i="18"/>
  <c r="AL178" i="18"/>
  <c r="AM178" i="18" s="1"/>
  <c r="O140" i="52"/>
  <c r="J140" i="52"/>
  <c r="W259" i="18"/>
  <c r="AL373" i="18" l="1"/>
  <c r="AM374" i="18"/>
  <c r="W258" i="18"/>
  <c r="W257" i="18"/>
  <c r="O139" i="52"/>
  <c r="J139" i="52"/>
  <c r="AL372" i="18" l="1"/>
  <c r="AM373" i="18"/>
  <c r="W256" i="18"/>
  <c r="AL371" i="18" l="1"/>
  <c r="AM372" i="18"/>
  <c r="AM371" i="18" l="1"/>
  <c r="AL370" i="18"/>
  <c r="M41" i="52"/>
  <c r="AM370" i="18" l="1"/>
  <c r="AL369" i="18"/>
  <c r="O135" i="52"/>
  <c r="J135" i="52"/>
  <c r="AL368" i="18" l="1"/>
  <c r="AM369" i="18"/>
  <c r="AL367" i="18" l="1"/>
  <c r="AM368" i="18"/>
  <c r="W255" i="18"/>
  <c r="AL366" i="18" l="1"/>
  <c r="AM367" i="18"/>
  <c r="O132" i="52"/>
  <c r="W254" i="18"/>
  <c r="AM366" i="18" l="1"/>
  <c r="AL365" i="18"/>
  <c r="O131" i="52"/>
  <c r="J3" i="60"/>
  <c r="J4" i="60"/>
  <c r="J5" i="60"/>
  <c r="J2" i="60"/>
  <c r="I9" i="60"/>
  <c r="I7" i="60"/>
  <c r="J7" i="60" s="1"/>
  <c r="AL364" i="18" l="1"/>
  <c r="AM365" i="18"/>
  <c r="O130" i="52"/>
  <c r="O129" i="52"/>
  <c r="W253" i="18"/>
  <c r="W252" i="18"/>
  <c r="AL363" i="18" l="1"/>
  <c r="AM364" i="18"/>
  <c r="N129" i="52"/>
  <c r="AM363" i="18" l="1"/>
  <c r="AL362" i="18"/>
  <c r="O127" i="52"/>
  <c r="AL361" i="18" l="1"/>
  <c r="AM362" i="18"/>
  <c r="J126" i="52"/>
  <c r="O126" i="52"/>
  <c r="W251" i="18"/>
  <c r="AM361" i="18" l="1"/>
  <c r="AL360" i="18"/>
  <c r="O125" i="52"/>
  <c r="J125" i="52"/>
  <c r="AM360" i="18" l="1"/>
  <c r="AL359" i="18"/>
  <c r="W250" i="18"/>
  <c r="AM359" i="18" l="1"/>
  <c r="AL35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9" i="18"/>
  <c r="AM358" i="18" l="1"/>
  <c r="AL357"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7" i="18" l="1"/>
  <c r="AL356" i="18"/>
  <c r="W248" i="18"/>
  <c r="AM356" i="18" l="1"/>
  <c r="AL355" i="18"/>
  <c r="AM355" i="18" l="1"/>
  <c r="AL354" i="18"/>
  <c r="O121" i="52"/>
  <c r="J121" i="52"/>
  <c r="W247" i="18"/>
  <c r="AL353" i="18" l="1"/>
  <c r="AM354" i="18"/>
  <c r="W246" i="18"/>
  <c r="J120" i="52"/>
  <c r="AM353" i="18" l="1"/>
  <c r="AL352" i="18"/>
  <c r="AL351" i="18" l="1"/>
  <c r="AM352" i="18"/>
  <c r="O117" i="52"/>
  <c r="AM351" i="18" l="1"/>
  <c r="AL350" i="18"/>
  <c r="O116" i="52"/>
  <c r="N116" i="52"/>
  <c r="AM350" i="18" l="1"/>
  <c r="AL349" i="18"/>
  <c r="W245" i="18"/>
  <c r="AL348" i="18" l="1"/>
  <c r="AM34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7" i="18" l="1"/>
  <c r="AM348" i="18"/>
  <c r="AL346" i="18" l="1"/>
  <c r="AM347" i="18"/>
  <c r="AL345" i="18" l="1"/>
  <c r="AM346" i="18"/>
  <c r="AM345" i="18" l="1"/>
  <c r="AL344" i="18"/>
  <c r="O112" i="52"/>
  <c r="AM344" i="18" l="1"/>
  <c r="AL343"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42" i="18" l="1"/>
  <c r="AM343" i="18"/>
  <c r="P120" i="52"/>
  <c r="P121" i="52"/>
  <c r="D305" i="15"/>
  <c r="F305" i="15" s="1"/>
  <c r="P112" i="52"/>
  <c r="P113" i="52"/>
  <c r="P118" i="52"/>
  <c r="P122" i="52"/>
  <c r="P119" i="52"/>
  <c r="P114" i="52"/>
  <c r="P115" i="52"/>
  <c r="O110" i="52"/>
  <c r="AM342" i="18" l="1"/>
  <c r="AL341" i="18"/>
  <c r="D304" i="15"/>
  <c r="F304" i="15" s="1"/>
  <c r="W244" i="18"/>
  <c r="J108" i="52"/>
  <c r="AM341" i="18" l="1"/>
  <c r="AL340" i="18"/>
  <c r="D303" i="15"/>
  <c r="F303" i="15" s="1"/>
  <c r="W243" i="18"/>
  <c r="W242" i="18"/>
  <c r="AL339" i="18" l="1"/>
  <c r="AM340" i="18"/>
  <c r="D302" i="15"/>
  <c r="F302" i="15" s="1"/>
  <c r="O106" i="52"/>
  <c r="J106" i="52"/>
  <c r="AL338" i="18" l="1"/>
  <c r="AM339" i="18"/>
  <c r="D301" i="15"/>
  <c r="F301" i="15" s="1"/>
  <c r="J104" i="52"/>
  <c r="G120" i="18"/>
  <c r="J120" i="18" s="1"/>
  <c r="J123" i="18" s="1"/>
  <c r="I123" i="18" s="1"/>
  <c r="E276" i="15"/>
  <c r="E277" i="15"/>
  <c r="E278" i="15"/>
  <c r="E279" i="15"/>
  <c r="E280" i="15"/>
  <c r="AL337" i="18" l="1"/>
  <c r="AM338" i="18"/>
  <c r="D300" i="15"/>
  <c r="F300" i="15" s="1"/>
  <c r="W241" i="18"/>
  <c r="AL336" i="18" l="1"/>
  <c r="AM337" i="18"/>
  <c r="D299" i="15"/>
  <c r="F299" i="15" s="1"/>
  <c r="E7" i="60"/>
  <c r="N3" i="60"/>
  <c r="J14" i="60" s="1"/>
  <c r="F3" i="60"/>
  <c r="F4" i="60"/>
  <c r="F5" i="60"/>
  <c r="F6" i="60"/>
  <c r="AL335" i="18" l="1"/>
  <c r="AM336"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0" i="18"/>
  <c r="AL334" i="18" l="1"/>
  <c r="AM335"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4" i="18" l="1"/>
  <c r="AL333" i="18"/>
  <c r="K21" i="60"/>
  <c r="I23" i="60"/>
  <c r="D296" i="15"/>
  <c r="F296" i="15" s="1"/>
  <c r="AL332" i="18" l="1"/>
  <c r="AM333" i="18"/>
  <c r="D295" i="15"/>
  <c r="F295" i="15" s="1"/>
  <c r="AL331" i="18" l="1"/>
  <c r="AM33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31" i="18" l="1"/>
  <c r="AL330" i="18"/>
  <c r="P108" i="52"/>
  <c r="D293" i="15"/>
  <c r="F293" i="15" s="1"/>
  <c r="P111" i="52"/>
  <c r="P110" i="52"/>
  <c r="P106" i="52"/>
  <c r="P104" i="52"/>
  <c r="P107" i="52"/>
  <c r="P105" i="52"/>
  <c r="P99" i="52"/>
  <c r="P109" i="52"/>
  <c r="P103" i="52"/>
  <c r="P102" i="52"/>
  <c r="P101" i="52"/>
  <c r="P100" i="52"/>
  <c r="AL329" i="18" l="1"/>
  <c r="AM330" i="18"/>
  <c r="D292" i="15"/>
  <c r="F292" i="15" s="1"/>
  <c r="R380" i="18"/>
  <c r="J90" i="52"/>
  <c r="J95" i="52"/>
  <c r="W239" i="18"/>
  <c r="AJ234" i="18"/>
  <c r="AM329" i="18" l="1"/>
  <c r="AL328" i="18"/>
  <c r="D291" i="15"/>
  <c r="F291" i="15" s="1"/>
  <c r="F51" i="14"/>
  <c r="F52" i="14"/>
  <c r="F53" i="14"/>
  <c r="F54" i="14"/>
  <c r="F55" i="14"/>
  <c r="F56" i="14"/>
  <c r="F57" i="14"/>
  <c r="F58" i="14"/>
  <c r="F59" i="14"/>
  <c r="F60" i="14"/>
  <c r="F61" i="14"/>
  <c r="AM328" i="18" l="1"/>
  <c r="AL327" i="18"/>
  <c r="D290" i="15"/>
  <c r="F290" i="15" s="1"/>
  <c r="N92" i="52"/>
  <c r="O92" i="52"/>
  <c r="N93" i="52"/>
  <c r="O93" i="52"/>
  <c r="N94" i="52"/>
  <c r="O94" i="52"/>
  <c r="N95" i="52"/>
  <c r="O95" i="52"/>
  <c r="N96" i="52"/>
  <c r="O96" i="52"/>
  <c r="N97" i="52"/>
  <c r="O97" i="52"/>
  <c r="J92" i="52"/>
  <c r="J93" i="52"/>
  <c r="J94" i="52"/>
  <c r="J96" i="52"/>
  <c r="AL326" i="18" l="1"/>
  <c r="AM327" i="18"/>
  <c r="D289" i="15"/>
  <c r="F289" i="15" s="1"/>
  <c r="P97" i="52"/>
  <c r="P98" i="52"/>
  <c r="P95" i="52"/>
  <c r="P96" i="52"/>
  <c r="P94" i="52"/>
  <c r="P93" i="52"/>
  <c r="N91" i="52"/>
  <c r="P92" i="52" s="1"/>
  <c r="AL325" i="18" l="1"/>
  <c r="AM326" i="18"/>
  <c r="D288" i="15"/>
  <c r="F288" i="15" s="1"/>
  <c r="R284" i="18"/>
  <c r="T364" i="18" s="1"/>
  <c r="W238" i="18"/>
  <c r="W237" i="18"/>
  <c r="W236" i="18"/>
  <c r="M48" i="52"/>
  <c r="M47" i="52"/>
  <c r="N38" i="52"/>
  <c r="N37" i="52"/>
  <c r="M49" i="52"/>
  <c r="N50" i="52" s="1"/>
  <c r="AL324" i="18" l="1"/>
  <c r="AM325" i="18"/>
  <c r="D287" i="15"/>
  <c r="F287" i="15" s="1"/>
  <c r="N49" i="52"/>
  <c r="W235" i="18"/>
  <c r="AL323" i="18" l="1"/>
  <c r="AM324" i="18"/>
  <c r="D286" i="15"/>
  <c r="F286" i="15" s="1"/>
  <c r="AM323" i="18" l="1"/>
  <c r="AL322" i="18"/>
  <c r="D285" i="15"/>
  <c r="F285" i="15" s="1"/>
  <c r="W234" i="18"/>
  <c r="AL321" i="18" l="1"/>
  <c r="AM322" i="18"/>
  <c r="D284" i="15"/>
  <c r="F284" i="15" s="1"/>
  <c r="O90" i="52"/>
  <c r="O91" i="52"/>
  <c r="J91" i="52"/>
  <c r="AL320" i="18" l="1"/>
  <c r="AM321"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3" i="18"/>
  <c r="AL319" i="18" l="1"/>
  <c r="AM320" i="18"/>
  <c r="D282" i="15"/>
  <c r="F282" i="15" s="1"/>
  <c r="G32" i="57"/>
  <c r="H32" i="57"/>
  <c r="D32" i="57"/>
  <c r="I32" i="57" s="1"/>
  <c r="D345" i="20"/>
  <c r="W232" i="18"/>
  <c r="W231" i="18"/>
  <c r="AL318" i="18" l="1"/>
  <c r="AM319" i="18"/>
  <c r="D281" i="15"/>
  <c r="F281" i="15" s="1"/>
  <c r="W16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7" i="18" l="1"/>
  <c r="AM318" i="18"/>
  <c r="D280" i="15"/>
  <c r="F280" i="15" s="1"/>
  <c r="C46" i="56"/>
  <c r="B46" i="56"/>
  <c r="AL316" i="18" l="1"/>
  <c r="AM317" i="18"/>
  <c r="D279" i="15"/>
  <c r="F279" i="15" s="1"/>
  <c r="O84" i="52"/>
  <c r="W230" i="18"/>
  <c r="D343" i="20"/>
  <c r="AL315" i="18" l="1"/>
  <c r="AM316" i="18"/>
  <c r="D278" i="15"/>
  <c r="F278" i="15" s="1"/>
  <c r="W229" i="18"/>
  <c r="D342" i="20"/>
  <c r="J83" i="52"/>
  <c r="O83" i="52"/>
  <c r="W228" i="18"/>
  <c r="W227" i="18"/>
  <c r="F44" i="14"/>
  <c r="F45" i="14"/>
  <c r="F46" i="14"/>
  <c r="F47" i="14"/>
  <c r="F48" i="14"/>
  <c r="F49" i="14"/>
  <c r="F50" i="14"/>
  <c r="D341" i="20"/>
  <c r="AM315" i="18" l="1"/>
  <c r="AL314" i="18"/>
  <c r="D277" i="15"/>
  <c r="F277" i="15" s="1"/>
  <c r="AJ398" i="18"/>
  <c r="AM314" i="18" l="1"/>
  <c r="AL313" i="18"/>
  <c r="D276" i="15"/>
  <c r="F276" i="15" s="1"/>
  <c r="W226" i="18"/>
  <c r="AM313" i="18" l="1"/>
  <c r="AL312" i="18"/>
  <c r="D340" i="20"/>
  <c r="W225" i="18"/>
  <c r="H337" i="20"/>
  <c r="H338" i="20"/>
  <c r="H339" i="20"/>
  <c r="H340" i="20"/>
  <c r="H341" i="20"/>
  <c r="H368" i="20"/>
  <c r="H369" i="20"/>
  <c r="D339" i="20"/>
  <c r="AL311" i="18" l="1"/>
  <c r="AM312" i="18"/>
  <c r="B371" i="20"/>
  <c r="D332" i="20"/>
  <c r="D333" i="20"/>
  <c r="D334" i="20"/>
  <c r="D335" i="20"/>
  <c r="D336" i="20"/>
  <c r="D337" i="20"/>
  <c r="D338" i="20"/>
  <c r="D369" i="20"/>
  <c r="AM311" i="18" l="1"/>
  <c r="AL310" i="18"/>
  <c r="W224" i="18"/>
  <c r="D80" i="57"/>
  <c r="AL309" i="18" l="1"/>
  <c r="AM310" i="18"/>
  <c r="G46" i="10"/>
  <c r="AM309" i="18" l="1"/>
  <c r="AL308" i="18"/>
  <c r="D331" i="20"/>
  <c r="AL307" i="18" l="1"/>
  <c r="AM308" i="18"/>
  <c r="D330" i="20"/>
  <c r="AL306" i="18" l="1"/>
  <c r="AM307" i="18"/>
  <c r="W223" i="18"/>
  <c r="W222" i="18"/>
  <c r="AL305" i="18" l="1"/>
  <c r="AM306" i="18"/>
  <c r="D329" i="20"/>
  <c r="AL304" i="18" l="1"/>
  <c r="AM305" i="18"/>
  <c r="L47" i="52"/>
  <c r="AM304" i="18" l="1"/>
  <c r="AL303" i="18"/>
  <c r="AL302" i="18" l="1"/>
  <c r="AM303" i="18"/>
  <c r="D328" i="20"/>
  <c r="D327" i="20"/>
  <c r="AL301" i="18" l="1"/>
  <c r="AM30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01" i="18" l="1"/>
  <c r="AL300" i="18"/>
  <c r="P83" i="52"/>
  <c r="P91" i="52"/>
  <c r="P90" i="52"/>
  <c r="P82" i="52"/>
  <c r="P89" i="52"/>
  <c r="P88" i="52"/>
  <c r="P84" i="52"/>
  <c r="P80" i="52"/>
  <c r="P85" i="52"/>
  <c r="P81" i="52"/>
  <c r="P79" i="52"/>
  <c r="P86" i="52"/>
  <c r="P78" i="52"/>
  <c r="P77" i="52"/>
  <c r="P76" i="52"/>
  <c r="P75" i="52"/>
  <c r="AM300" i="18" l="1"/>
  <c r="AL299" i="18"/>
  <c r="D326" i="20"/>
  <c r="D325" i="20"/>
  <c r="AL298" i="18" l="1"/>
  <c r="AM299" i="18"/>
  <c r="H320" i="20"/>
  <c r="H321" i="20"/>
  <c r="H322" i="20"/>
  <c r="H323" i="20"/>
  <c r="H324" i="20"/>
  <c r="H325" i="20"/>
  <c r="H326" i="20"/>
  <c r="H327" i="20"/>
  <c r="H328" i="20"/>
  <c r="H329" i="20"/>
  <c r="H330" i="20"/>
  <c r="H331" i="20"/>
  <c r="H332" i="20"/>
  <c r="H333" i="20"/>
  <c r="H334" i="20"/>
  <c r="H335" i="20"/>
  <c r="H336" i="20"/>
  <c r="D324" i="20"/>
  <c r="D323" i="20"/>
  <c r="D322" i="20"/>
  <c r="D321" i="20"/>
  <c r="AL297" i="18" l="1"/>
  <c r="AM297" i="18" s="1"/>
  <c r="AM298" i="18"/>
  <c r="D320" i="20"/>
  <c r="D319" i="20"/>
  <c r="D318" i="20" l="1"/>
  <c r="D317" i="20"/>
  <c r="W221" i="18" l="1"/>
  <c r="W220" i="18"/>
  <c r="R18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9" i="18"/>
  <c r="W218" i="18"/>
  <c r="L34" i="18"/>
  <c r="N36" i="52"/>
  <c r="N35" i="52"/>
  <c r="Q42" i="52"/>
  <c r="W217" i="18" l="1"/>
  <c r="W21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15" i="18" l="1"/>
  <c r="W214" i="18"/>
  <c r="N32" i="52"/>
  <c r="N31" i="52"/>
  <c r="W213" i="18" l="1"/>
  <c r="W212" i="18"/>
  <c r="N30" i="52"/>
  <c r="N29" i="52"/>
  <c r="W211" i="18" l="1"/>
  <c r="W210" i="18"/>
  <c r="N28" i="52"/>
  <c r="N27" i="52"/>
  <c r="AL296" i="18" l="1"/>
  <c r="D313" i="20"/>
  <c r="AL295" i="18" l="1"/>
  <c r="AM296" i="18"/>
  <c r="L111" i="18"/>
  <c r="L106" i="18" l="1"/>
  <c r="N106" i="18" s="1"/>
  <c r="L108" i="18"/>
  <c r="N108" i="18" s="1"/>
  <c r="L107" i="18"/>
  <c r="N107" i="18" s="1"/>
  <c r="M111" i="18"/>
  <c r="AM295" i="18"/>
  <c r="AL294" i="18"/>
  <c r="L103" i="18"/>
  <c r="W209" i="18"/>
  <c r="W208" i="18"/>
  <c r="N24" i="52"/>
  <c r="N26" i="52"/>
  <c r="N25" i="52"/>
  <c r="AL293" i="18" l="1"/>
  <c r="AM294" i="18"/>
  <c r="L105"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207" i="18"/>
  <c r="W206" i="18"/>
  <c r="N23" i="52"/>
  <c r="N22" i="52"/>
  <c r="I368" i="20" l="1"/>
  <c r="G367" i="20"/>
  <c r="J368" i="20"/>
  <c r="K368" i="20"/>
  <c r="AL291" i="18"/>
  <c r="AM292" i="18"/>
  <c r="W205" i="18"/>
  <c r="W204"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203" i="18"/>
  <c r="W202" i="18"/>
  <c r="AL176" i="18" l="1"/>
  <c r="AM177" i="18"/>
  <c r="K362" i="20"/>
  <c r="G361" i="20"/>
  <c r="I362" i="20"/>
  <c r="J362" i="20"/>
  <c r="AL285" i="18"/>
  <c r="AM286" i="18"/>
  <c r="AL175" i="18" l="1"/>
  <c r="AM176" i="18"/>
  <c r="I361" i="20"/>
  <c r="G360" i="20"/>
  <c r="J361" i="20"/>
  <c r="K361" i="20"/>
  <c r="AL284" i="18"/>
  <c r="AM285" i="18"/>
  <c r="G103" i="18"/>
  <c r="F103"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201" i="18"/>
  <c r="W200" i="18"/>
  <c r="N17" i="52"/>
  <c r="N16" i="52"/>
  <c r="AL170" i="18" l="1"/>
  <c r="AM171" i="18"/>
  <c r="I356" i="20"/>
  <c r="G355" i="20"/>
  <c r="J356" i="20"/>
  <c r="K356" i="20"/>
  <c r="L104" i="18"/>
  <c r="AL169" i="18" l="1"/>
  <c r="AL168" i="18" s="1"/>
  <c r="AM170" i="18"/>
  <c r="J355" i="20"/>
  <c r="I355" i="20"/>
  <c r="G354" i="20"/>
  <c r="K355" i="20"/>
  <c r="W199" i="18"/>
  <c r="W198" i="18"/>
  <c r="D303" i="20"/>
  <c r="D302" i="20"/>
  <c r="W197"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5" i="18"/>
  <c r="AL163" i="18" l="1"/>
  <c r="AM164" i="18"/>
  <c r="I350" i="20"/>
  <c r="J350" i="20"/>
  <c r="K350" i="20"/>
  <c r="G349" i="20"/>
  <c r="D296" i="20"/>
  <c r="D295" i="20"/>
  <c r="AM163" i="18" l="1"/>
  <c r="AL162" i="18"/>
  <c r="K349" i="20"/>
  <c r="I349" i="20"/>
  <c r="J349" i="20"/>
  <c r="G348" i="20"/>
  <c r="W194" i="18"/>
  <c r="W193"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92" i="18"/>
  <c r="W191" i="18"/>
  <c r="AM161" i="18" l="1"/>
  <c r="AL160" i="18"/>
  <c r="G346" i="20"/>
  <c r="J347" i="20"/>
  <c r="I347" i="20"/>
  <c r="K347" i="20"/>
  <c r="D293" i="20"/>
  <c r="AL159" i="18" l="1"/>
  <c r="AM160" i="18"/>
  <c r="K346" i="20"/>
  <c r="G345" i="20"/>
  <c r="J346" i="20"/>
  <c r="I346" i="20"/>
  <c r="W190" i="18"/>
  <c r="AM159" i="18" l="1"/>
  <c r="AL158" i="18"/>
  <c r="K345" i="20"/>
  <c r="G344" i="20"/>
  <c r="J345" i="20"/>
  <c r="I345" i="20"/>
  <c r="D292" i="20"/>
  <c r="C8" i="36"/>
  <c r="W18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7" i="18"/>
  <c r="D278" i="20"/>
  <c r="D269" i="15" l="1"/>
  <c r="F270" i="15"/>
  <c r="AL140" i="18"/>
  <c r="AM141" i="18"/>
  <c r="J327" i="20"/>
  <c r="K327" i="20"/>
  <c r="G326" i="20"/>
  <c r="I327" i="20"/>
  <c r="W165"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1"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5" i="18"/>
  <c r="AM124" i="18" l="1"/>
  <c r="AL123" i="18"/>
  <c r="AM123" i="18" l="1"/>
  <c r="AL122" i="18"/>
  <c r="AL121" i="18" l="1"/>
  <c r="AM122" i="18"/>
  <c r="W179" i="18"/>
  <c r="W180" i="18"/>
  <c r="W181" i="18"/>
  <c r="W182" i="18"/>
  <c r="W183" i="18"/>
  <c r="W184" i="18"/>
  <c r="W196" i="18"/>
  <c r="W178" i="18"/>
  <c r="AM121" i="18" l="1"/>
  <c r="AL120" i="18"/>
  <c r="N50" i="18"/>
  <c r="AM120" i="18" l="1"/>
  <c r="AL119" i="18"/>
  <c r="AM119" i="18" l="1"/>
  <c r="AL118" i="18"/>
  <c r="T162" i="18"/>
  <c r="S60" i="18"/>
  <c r="S61" i="18" s="1"/>
  <c r="S62" i="18" s="1"/>
  <c r="R183" i="18"/>
  <c r="R181" i="18"/>
  <c r="D57" i="51"/>
  <c r="AL117" i="18" l="1"/>
  <c r="AM118" i="18"/>
  <c r="S63" i="18"/>
  <c r="S64" i="18" s="1"/>
  <c r="AM117" i="18" l="1"/>
  <c r="AL116" i="18"/>
  <c r="S65" i="18"/>
  <c r="S66" i="18" s="1"/>
  <c r="N29" i="18"/>
  <c r="Q82" i="18" l="1"/>
  <c r="R18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54" i="18" l="1"/>
  <c r="S70" i="18"/>
  <c r="S71" i="18" s="1"/>
  <c r="AM112" i="18"/>
  <c r="AL111" i="18"/>
  <c r="D108" i="50"/>
  <c r="S72" i="18" l="1"/>
  <c r="S73" i="18" s="1"/>
  <c r="AL110" i="18"/>
  <c r="AM111" i="18"/>
  <c r="S74" i="18" l="1"/>
  <c r="S75" i="18" s="1"/>
  <c r="S76" i="18" s="1"/>
  <c r="AL109" i="18"/>
  <c r="AM110" i="18"/>
  <c r="S77" i="18" l="1"/>
  <c r="N105" i="18"/>
  <c r="AL108" i="18"/>
  <c r="AM109" i="18"/>
  <c r="N22" i="33"/>
  <c r="R22" i="33" s="1"/>
  <c r="S78" i="18" l="1"/>
  <c r="S79"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5"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4"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3" i="18" s="1"/>
  <c r="O103" i="18" s="1"/>
  <c r="Q55" i="18" l="1"/>
  <c r="R179" i="18"/>
  <c r="S34" i="18"/>
  <c r="S35" i="18" s="1"/>
  <c r="AJ402" i="18"/>
  <c r="AJ403" i="18" s="1"/>
  <c r="AM94" i="18"/>
  <c r="AL93" i="18"/>
  <c r="AL263" i="18"/>
  <c r="AM264" i="18"/>
  <c r="S36" i="18" l="1"/>
  <c r="AL92" i="18"/>
  <c r="AM93" i="18"/>
  <c r="AL262" i="18"/>
  <c r="AM263" i="18"/>
  <c r="S92" i="18"/>
  <c r="S93" i="18" s="1"/>
  <c r="S37" i="18" l="1"/>
  <c r="AL91" i="18"/>
  <c r="AM92" i="18"/>
  <c r="AM262" i="18"/>
  <c r="AL261" i="18"/>
  <c r="S38" i="18" l="1"/>
  <c r="S39" i="18" s="1"/>
  <c r="S40" i="18" s="1"/>
  <c r="AL90" i="18"/>
  <c r="AM91" i="18"/>
  <c r="AL260" i="18"/>
  <c r="AM261" i="18"/>
  <c r="AM90" i="18" l="1"/>
  <c r="AL89" i="18"/>
  <c r="AM260" i="18"/>
  <c r="AL259" i="18"/>
  <c r="AL88" i="18" l="1"/>
  <c r="AM89" i="18"/>
  <c r="AM259" i="18"/>
  <c r="AL258" i="18"/>
  <c r="S41" i="18" l="1"/>
  <c r="S42" i="18" s="1"/>
  <c r="S43" i="18" s="1"/>
  <c r="AM88" i="18"/>
  <c r="AL87" i="18"/>
  <c r="AL257" i="18"/>
  <c r="AM258" i="18"/>
  <c r="B10" i="36"/>
  <c r="S44" i="18" l="1"/>
  <c r="S45" i="18" s="1"/>
  <c r="AL86" i="18"/>
  <c r="AM87" i="18"/>
  <c r="AL256" i="18"/>
  <c r="AM257" i="18"/>
  <c r="S94" i="18"/>
  <c r="S95" i="18" s="1"/>
  <c r="S96" i="18" s="1"/>
  <c r="S46" i="18" l="1"/>
  <c r="S47" i="18" s="1"/>
  <c r="S48" i="18" s="1"/>
  <c r="S49" i="18" s="1"/>
  <c r="S50" i="18" s="1"/>
  <c r="S51" i="18" s="1"/>
  <c r="S52" i="18" s="1"/>
  <c r="AL85" i="18"/>
  <c r="AM86" i="18"/>
  <c r="S97" i="18"/>
  <c r="AL255" i="18"/>
  <c r="AM256" i="18"/>
  <c r="N25" i="33"/>
  <c r="N24" i="33"/>
  <c r="N21" i="33"/>
  <c r="N20" i="33"/>
  <c r="N19" i="33"/>
  <c r="N18" i="33"/>
  <c r="L18" i="33" s="1"/>
  <c r="N17" i="33"/>
  <c r="N9" i="33"/>
  <c r="N3" i="33"/>
  <c r="N4" i="33"/>
  <c r="AL84" i="18" l="1"/>
  <c r="AM85" i="18"/>
  <c r="AM255" i="18"/>
  <c r="AL254"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398" i="18" l="1"/>
  <c r="AN398" i="18" s="1"/>
  <c r="AJ40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4" i="18" l="1"/>
  <c r="AJ40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G306" i="20"/>
  <c r="J307" i="20"/>
  <c r="I307" i="20"/>
  <c r="K307" i="20"/>
  <c r="AL75" i="18"/>
  <c r="AM76" i="18"/>
  <c r="P103" i="18"/>
  <c r="N103" i="18" l="1"/>
  <c r="N111" i="18" s="1"/>
  <c r="R178" i="18"/>
  <c r="S105" i="18"/>
  <c r="S106" i="18" s="1"/>
  <c r="AJ240" i="18"/>
  <c r="AJ241" i="18" s="1"/>
  <c r="G305" i="20"/>
  <c r="I306" i="20"/>
  <c r="K306" i="20"/>
  <c r="J306" i="20"/>
  <c r="AL74" i="18"/>
  <c r="AM75" i="18"/>
  <c r="R191" i="18" l="1"/>
  <c r="T351" i="18" s="1"/>
  <c r="G304" i="20"/>
  <c r="I305" i="20"/>
  <c r="K305" i="20"/>
  <c r="J305" i="20"/>
  <c r="AL73" i="18"/>
  <c r="AM74" i="18"/>
  <c r="R86" i="18"/>
  <c r="V52" i="18" l="1"/>
  <c r="V79" i="18"/>
  <c r="W52" i="18"/>
  <c r="X52" i="18"/>
  <c r="V153" i="18"/>
  <c r="V78" i="18"/>
  <c r="W78" i="18" s="1"/>
  <c r="V51" i="18"/>
  <c r="V50" i="18"/>
  <c r="X50" i="18" s="1"/>
  <c r="V49" i="18"/>
  <c r="V48" i="18"/>
  <c r="V47" i="18"/>
  <c r="V44" i="18"/>
  <c r="V45" i="18"/>
  <c r="V54" i="18"/>
  <c r="V46" i="18"/>
  <c r="V77" i="18"/>
  <c r="V43" i="18"/>
  <c r="W43" i="18" s="1"/>
  <c r="V41" i="18"/>
  <c r="V42" i="18"/>
  <c r="V76" i="18"/>
  <c r="V40" i="18"/>
  <c r="X40" i="18" s="1"/>
  <c r="V75" i="18"/>
  <c r="W75" i="18" s="1"/>
  <c r="V74" i="18"/>
  <c r="X74" i="18" s="1"/>
  <c r="V354" i="18"/>
  <c r="S168" i="18"/>
  <c r="V73" i="18"/>
  <c r="X73" i="18" s="1"/>
  <c r="V72" i="18"/>
  <c r="W72" i="18" s="1"/>
  <c r="V81" i="18"/>
  <c r="V39" i="18"/>
  <c r="U364" i="18"/>
  <c r="V364" i="18" s="1"/>
  <c r="V38" i="18"/>
  <c r="W38" i="18" s="1"/>
  <c r="V37" i="18"/>
  <c r="V36" i="18"/>
  <c r="X36" i="18" s="1"/>
  <c r="S167" i="18"/>
  <c r="X168" i="18" s="1"/>
  <c r="V34" i="18"/>
  <c r="W34" i="18" s="1"/>
  <c r="V35" i="18"/>
  <c r="V71" i="18"/>
  <c r="W71" i="18" s="1"/>
  <c r="V33" i="18"/>
  <c r="V90" i="18"/>
  <c r="V70" i="18"/>
  <c r="V69" i="18"/>
  <c r="V68" i="18"/>
  <c r="W68" i="18" s="1"/>
  <c r="V32" i="18"/>
  <c r="V31" i="18"/>
  <c r="V30" i="18"/>
  <c r="V29" i="18"/>
  <c r="V28" i="18"/>
  <c r="W28" i="18" s="1"/>
  <c r="V67" i="18"/>
  <c r="V66" i="18"/>
  <c r="V27" i="18"/>
  <c r="G303" i="20"/>
  <c r="K304" i="20"/>
  <c r="I304" i="20"/>
  <c r="J304" i="20"/>
  <c r="V105" i="18"/>
  <c r="V26" i="18"/>
  <c r="W26" i="18" s="1"/>
  <c r="V65" i="18"/>
  <c r="V103" i="18"/>
  <c r="W103" i="18" s="1"/>
  <c r="V104" i="18"/>
  <c r="V101" i="18"/>
  <c r="W101" i="18" s="1"/>
  <c r="V102" i="18"/>
  <c r="V100" i="18"/>
  <c r="W100" i="18" s="1"/>
  <c r="V25" i="18"/>
  <c r="V24" i="18"/>
  <c r="W24" i="18" s="1"/>
  <c r="V64" i="18"/>
  <c r="V23" i="18"/>
  <c r="X23" i="18" s="1"/>
  <c r="V63" i="18"/>
  <c r="V62" i="18"/>
  <c r="V99" i="18"/>
  <c r="V61" i="18"/>
  <c r="V98" i="18"/>
  <c r="V22" i="18"/>
  <c r="V97" i="18"/>
  <c r="V21" i="18"/>
  <c r="V96" i="18"/>
  <c r="V95" i="18"/>
  <c r="V93" i="18"/>
  <c r="V94" i="18"/>
  <c r="V20" i="18"/>
  <c r="V91" i="18"/>
  <c r="V92" i="18"/>
  <c r="AL72" i="18"/>
  <c r="AM73" i="18"/>
  <c r="X79" i="18" l="1"/>
  <c r="W79" i="18"/>
  <c r="W153" i="18"/>
  <c r="X153" i="18"/>
  <c r="X78" i="18"/>
  <c r="W51" i="18"/>
  <c r="X51" i="18"/>
  <c r="W50" i="18"/>
  <c r="X48" i="18"/>
  <c r="W48" i="18"/>
  <c r="W49" i="18"/>
  <c r="X49" i="18"/>
  <c r="W47" i="18"/>
  <c r="X47" i="18"/>
  <c r="W54" i="18"/>
  <c r="X54" i="18"/>
  <c r="W45" i="18"/>
  <c r="X45" i="18"/>
  <c r="W46" i="18"/>
  <c r="X46" i="18"/>
  <c r="W44" i="18"/>
  <c r="X44" i="18"/>
  <c r="W77" i="18"/>
  <c r="X77" i="18"/>
  <c r="X43" i="18"/>
  <c r="X42" i="18"/>
  <c r="W42" i="18"/>
  <c r="W41" i="18"/>
  <c r="X41" i="18"/>
  <c r="W76" i="18"/>
  <c r="X76" i="18"/>
  <c r="W40" i="18"/>
  <c r="X75" i="18"/>
  <c r="W74" i="18"/>
  <c r="U168" i="18"/>
  <c r="V168" i="18" s="1"/>
  <c r="W73" i="18"/>
  <c r="X72" i="18"/>
  <c r="W81" i="18"/>
  <c r="X81" i="18"/>
  <c r="W39" i="18"/>
  <c r="X39" i="18"/>
  <c r="U167" i="18"/>
  <c r="V167" i="18" s="1"/>
  <c r="X38" i="18"/>
  <c r="X37" i="18"/>
  <c r="W37" i="18"/>
  <c r="W36" i="18"/>
  <c r="X34" i="18"/>
  <c r="W35" i="18"/>
  <c r="X35" i="18"/>
  <c r="X71" i="18"/>
  <c r="W33" i="18"/>
  <c r="X33" i="18"/>
  <c r="W70" i="18"/>
  <c r="X70" i="18"/>
  <c r="W69" i="18"/>
  <c r="X69" i="18"/>
  <c r="X68" i="18"/>
  <c r="W32" i="18"/>
  <c r="X32" i="18"/>
  <c r="W31" i="18"/>
  <c r="X31" i="18"/>
  <c r="X30" i="18"/>
  <c r="W30" i="18"/>
  <c r="W29" i="18"/>
  <c r="X29" i="18"/>
  <c r="X28" i="18"/>
  <c r="W67" i="18"/>
  <c r="X67" i="18"/>
  <c r="W66" i="18"/>
  <c r="X66" i="18"/>
  <c r="W27" i="18"/>
  <c r="X27" i="18"/>
  <c r="S166" i="18"/>
  <c r="G302" i="20"/>
  <c r="K303" i="20"/>
  <c r="I303" i="20"/>
  <c r="J303" i="20"/>
  <c r="W105" i="18"/>
  <c r="X105" i="18"/>
  <c r="X26" i="18"/>
  <c r="W65" i="18"/>
  <c r="X65" i="18"/>
  <c r="X103" i="18"/>
  <c r="W104" i="18"/>
  <c r="X104" i="18"/>
  <c r="X101" i="18"/>
  <c r="W102" i="18"/>
  <c r="X102" i="18"/>
  <c r="X100" i="18"/>
  <c r="W25" i="18"/>
  <c r="X25" i="18"/>
  <c r="X24" i="18"/>
  <c r="W64" i="18"/>
  <c r="X64" i="18"/>
  <c r="W23" i="18"/>
  <c r="W63" i="18"/>
  <c r="X63" i="18"/>
  <c r="W62" i="18"/>
  <c r="X62" i="18"/>
  <c r="S165" i="18"/>
  <c r="N32" i="18" s="1"/>
  <c r="S164" i="18"/>
  <c r="R174" i="18" s="1"/>
  <c r="W99" i="18"/>
  <c r="X99" i="18"/>
  <c r="X61" i="18"/>
  <c r="W61" i="18"/>
  <c r="W97" i="18"/>
  <c r="X97" i="18"/>
  <c r="W92" i="18"/>
  <c r="X92" i="18"/>
  <c r="W22" i="18"/>
  <c r="X22" i="18"/>
  <c r="W20" i="18"/>
  <c r="X20" i="18"/>
  <c r="W94" i="18"/>
  <c r="X94" i="18"/>
  <c r="X98" i="18"/>
  <c r="W98" i="18"/>
  <c r="W91" i="18"/>
  <c r="X91" i="18"/>
  <c r="W90" i="18"/>
  <c r="X90" i="18"/>
  <c r="W95" i="18"/>
  <c r="X95" i="18"/>
  <c r="W93" i="18"/>
  <c r="X93" i="18"/>
  <c r="W96" i="18"/>
  <c r="X96" i="18"/>
  <c r="W21" i="18"/>
  <c r="X21" i="18"/>
  <c r="AL71" i="18"/>
  <c r="AM72" i="18"/>
  <c r="R175" i="18" l="1"/>
  <c r="N58" i="18"/>
  <c r="U164" i="18"/>
  <c r="U166" i="18"/>
  <c r="V166" i="18" s="1"/>
  <c r="L21" i="18"/>
  <c r="U165" i="18"/>
  <c r="V165"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7"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6" i="18"/>
  <c r="W106" i="18" s="1"/>
  <c r="J266" i="20"/>
  <c r="G265" i="20"/>
  <c r="K266" i="20"/>
  <c r="I266" i="20"/>
  <c r="AL34" i="18"/>
  <c r="AM35" i="18"/>
  <c r="E240" i="15"/>
  <c r="E239" i="15"/>
  <c r="X106" i="18" l="1"/>
  <c r="G29" i="14"/>
  <c r="E28" i="14"/>
  <c r="K265" i="20"/>
  <c r="G264" i="20"/>
  <c r="J265" i="20"/>
  <c r="I265" i="20"/>
  <c r="D259" i="15"/>
  <c r="F259" i="15" s="1"/>
  <c r="AL33" i="18"/>
  <c r="AM34" i="18"/>
  <c r="E27" i="14" l="1"/>
  <c r="G28" i="14"/>
  <c r="G263" i="20"/>
  <c r="K264" i="20"/>
  <c r="J264" i="20"/>
  <c r="I264" i="20"/>
  <c r="D258" i="15"/>
  <c r="F258" i="15" s="1"/>
  <c r="AL32" i="18"/>
  <c r="AM33" i="18"/>
  <c r="S108" i="18" l="1"/>
  <c r="S109" i="18" s="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11" i="18" l="1"/>
  <c r="W111" i="18" s="1"/>
  <c r="V107" i="18"/>
  <c r="X107" i="18" s="1"/>
  <c r="E25" i="14"/>
  <c r="G26" i="14"/>
  <c r="G261" i="20"/>
  <c r="I262" i="20"/>
  <c r="J262" i="20"/>
  <c r="K262" i="20"/>
  <c r="D256" i="15"/>
  <c r="F256" i="15" s="1"/>
  <c r="AL30" i="18"/>
  <c r="AM31" i="18"/>
  <c r="L60" i="32"/>
  <c r="L48" i="32"/>
  <c r="X111" i="18" l="1"/>
  <c r="S113" i="18"/>
  <c r="W107" i="18"/>
  <c r="E24" i="14"/>
  <c r="G25" i="14"/>
  <c r="J261" i="20"/>
  <c r="I261" i="20"/>
  <c r="K261" i="20"/>
  <c r="G260" i="20"/>
  <c r="D255" i="15"/>
  <c r="F255" i="15" s="1"/>
  <c r="AL29" i="18"/>
  <c r="AM30" i="18"/>
  <c r="V112" i="18" l="1"/>
  <c r="X112"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2"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3" i="18" l="1"/>
  <c r="W113" i="18" s="1"/>
  <c r="S114" i="18"/>
  <c r="V108" i="18"/>
  <c r="W108"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4" i="18" l="1"/>
  <c r="W114" i="18" s="1"/>
  <c r="S115" i="18"/>
  <c r="X113" i="18"/>
  <c r="X108"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5" i="18" l="1"/>
  <c r="W115" i="18" s="1"/>
  <c r="S116" i="18"/>
  <c r="X114" i="18"/>
  <c r="G255" i="20"/>
  <c r="I256" i="20"/>
  <c r="J256" i="20"/>
  <c r="K256" i="20"/>
  <c r="D250" i="15"/>
  <c r="F250" i="15" s="1"/>
  <c r="AL24" i="18"/>
  <c r="AM25" i="18"/>
  <c r="E178" i="13"/>
  <c r="G179" i="13"/>
  <c r="X115" i="18" l="1"/>
  <c r="V116" i="18"/>
  <c r="W116" i="18" s="1"/>
  <c r="S117" i="18"/>
  <c r="S118" i="18" s="1"/>
  <c r="V109" i="18"/>
  <c r="X109" i="18" s="1"/>
  <c r="G254" i="20"/>
  <c r="J255" i="20"/>
  <c r="I255" i="20"/>
  <c r="K255" i="20"/>
  <c r="D249" i="15"/>
  <c r="F249" i="15" s="1"/>
  <c r="AM24" i="18"/>
  <c r="AL23" i="18"/>
  <c r="E177" i="13"/>
  <c r="G178" i="13"/>
  <c r="V117" i="18" l="1"/>
  <c r="X117" i="18" s="1"/>
  <c r="X116" i="18"/>
  <c r="W109" i="18"/>
  <c r="K254" i="20"/>
  <c r="I254" i="20"/>
  <c r="G253" i="20"/>
  <c r="J254" i="20"/>
  <c r="D248" i="15"/>
  <c r="AM23" i="18"/>
  <c r="AL22" i="18"/>
  <c r="E176" i="13"/>
  <c r="G177" i="13"/>
  <c r="D165" i="20"/>
  <c r="W117" i="18" l="1"/>
  <c r="G252" i="20"/>
  <c r="J253" i="20"/>
  <c r="K253" i="20"/>
  <c r="I253" i="20"/>
  <c r="D247" i="15"/>
  <c r="F248" i="15"/>
  <c r="AL21" i="18"/>
  <c r="AL20" i="18" s="1"/>
  <c r="AM22" i="18"/>
  <c r="E175" i="13"/>
  <c r="G176" i="13"/>
  <c r="D164" i="20"/>
  <c r="V118" i="18" l="1"/>
  <c r="W118" i="18" s="1"/>
  <c r="S119"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18" i="18"/>
  <c r="V119" i="18"/>
  <c r="W119" i="18" s="1"/>
  <c r="S120"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0"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V120" i="18" l="1"/>
  <c r="W120" i="18" s="1"/>
  <c r="S121" i="18"/>
  <c r="S122" i="18" s="1"/>
  <c r="X119" i="18"/>
  <c r="X110" i="18"/>
  <c r="W110" i="18"/>
  <c r="U2123" i="41"/>
  <c r="V2123" i="41" s="1"/>
  <c r="X2123" i="41" s="1"/>
  <c r="G249" i="20"/>
  <c r="J250" i="20"/>
  <c r="K250" i="20"/>
  <c r="I250" i="20"/>
  <c r="F245" i="15"/>
  <c r="D244" i="15"/>
  <c r="AN234" i="18"/>
  <c r="AJ239" i="18" s="1"/>
  <c r="E172" i="13"/>
  <c r="G173" i="13"/>
  <c r="D62" i="38"/>
  <c r="V121" i="18" l="1"/>
  <c r="X121" i="18" s="1"/>
  <c r="X120" i="18"/>
  <c r="AJ243" i="18"/>
  <c r="J249" i="20"/>
  <c r="I249" i="20"/>
  <c r="K249" i="20"/>
  <c r="G248" i="20"/>
  <c r="F244" i="15"/>
  <c r="D243" i="15"/>
  <c r="AJ242" i="18"/>
  <c r="E171" i="13"/>
  <c r="G172" i="13"/>
  <c r="W121"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3" i="18" l="1"/>
  <c r="S12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2" i="18" l="1"/>
  <c r="W12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5" i="18" l="1"/>
  <c r="V123" i="18"/>
  <c r="G189" i="20"/>
  <c r="K190" i="20"/>
  <c r="I190" i="20"/>
  <c r="J190" i="20"/>
  <c r="S126" i="18" l="1"/>
  <c r="X123" i="18"/>
  <c r="W12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4" i="18" l="1"/>
  <c r="G186" i="20"/>
  <c r="K187" i="20"/>
  <c r="J187" i="20"/>
  <c r="I187" i="20"/>
  <c r="D141" i="20"/>
  <c r="W124" i="18" l="1"/>
  <c r="X124" i="18"/>
  <c r="G185" i="20"/>
  <c r="I186" i="20"/>
  <c r="J186" i="20"/>
  <c r="K186" i="20"/>
  <c r="F2" i="16"/>
  <c r="G2" i="16" s="1"/>
  <c r="G85" i="16" s="1"/>
  <c r="G184" i="20" l="1"/>
  <c r="I185" i="20"/>
  <c r="J185" i="20"/>
  <c r="K185" i="20"/>
  <c r="F185" i="15"/>
  <c r="D140" i="20"/>
  <c r="S127" i="18" l="1"/>
  <c r="V12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5" i="18" l="1"/>
  <c r="X125" i="18"/>
  <c r="I183" i="20"/>
  <c r="G182" i="20"/>
  <c r="K183" i="20"/>
  <c r="J183" i="20"/>
  <c r="F183" i="15"/>
  <c r="G43" i="10"/>
  <c r="K182" i="20" l="1"/>
  <c r="I182" i="20"/>
  <c r="J182" i="20"/>
  <c r="G181" i="20"/>
  <c r="D138" i="20"/>
  <c r="V126" i="18" l="1"/>
  <c r="G180" i="20"/>
  <c r="I181" i="20"/>
  <c r="K181" i="20"/>
  <c r="J181" i="20"/>
  <c r="G42" i="10"/>
  <c r="W126" i="18" l="1"/>
  <c r="X126" i="18"/>
  <c r="I180" i="20"/>
  <c r="G179" i="20"/>
  <c r="J180" i="20"/>
  <c r="K180" i="20"/>
  <c r="E167" i="15"/>
  <c r="E168" i="15"/>
  <c r="E169" i="15"/>
  <c r="E170" i="15"/>
  <c r="E171" i="15"/>
  <c r="E172" i="15"/>
  <c r="E173" i="15"/>
  <c r="E174" i="15"/>
  <c r="E175" i="15"/>
  <c r="E176" i="15"/>
  <c r="E177" i="15"/>
  <c r="E178" i="15"/>
  <c r="E179" i="15"/>
  <c r="E180" i="15"/>
  <c r="E181" i="15"/>
  <c r="E182" i="15"/>
  <c r="S12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27" i="18" l="1"/>
  <c r="X127" i="18" s="1"/>
  <c r="J176" i="20"/>
  <c r="G175" i="20"/>
  <c r="I176" i="20"/>
  <c r="K176" i="20"/>
  <c r="D135" i="20"/>
  <c r="D134" i="20"/>
  <c r="W12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8" i="18" l="1"/>
  <c r="X128" i="18" s="1"/>
  <c r="S129" i="18"/>
  <c r="S130" i="18" s="1"/>
  <c r="G170" i="20"/>
  <c r="K171" i="20"/>
  <c r="I171" i="20"/>
  <c r="J171" i="20"/>
  <c r="F166" i="15"/>
  <c r="F165" i="15"/>
  <c r="F164" i="15"/>
  <c r="F163" i="15"/>
  <c r="F162" i="15"/>
  <c r="F161" i="15"/>
  <c r="F160" i="15"/>
  <c r="F159" i="15"/>
  <c r="F158" i="15"/>
  <c r="S131" i="18" l="1"/>
  <c r="S132" i="18" s="1"/>
  <c r="S133" i="18" s="1"/>
  <c r="W128" i="18"/>
  <c r="V129" i="18"/>
  <c r="I170" i="20"/>
  <c r="G169" i="20"/>
  <c r="J170" i="20"/>
  <c r="K170" i="20"/>
  <c r="D132" i="20"/>
  <c r="D131" i="20"/>
  <c r="V130" i="18" l="1"/>
  <c r="W129" i="18"/>
  <c r="X129" i="18"/>
  <c r="I169" i="20"/>
  <c r="K169" i="20"/>
  <c r="J169" i="20"/>
  <c r="G168" i="20"/>
  <c r="E3" i="18"/>
  <c r="D4" i="18"/>
  <c r="E100" i="18"/>
  <c r="N6" i="18" s="1"/>
  <c r="N10" i="18" s="1"/>
  <c r="V131" i="18" l="1"/>
  <c r="W130" i="18"/>
  <c r="X130" i="18"/>
  <c r="J168" i="20"/>
  <c r="K168" i="20"/>
  <c r="I168" i="20"/>
  <c r="G167" i="20"/>
  <c r="N11" i="18"/>
  <c r="G38" i="10"/>
  <c r="D129" i="20"/>
  <c r="W131" i="18" l="1"/>
  <c r="X13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32" i="18" l="1"/>
  <c r="G163" i="20"/>
  <c r="J164" i="20"/>
  <c r="K164" i="20"/>
  <c r="I164" i="20"/>
  <c r="D42" i="25"/>
  <c r="W132" i="18" l="1"/>
  <c r="X13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34" i="18" l="1"/>
  <c r="S135" i="18" s="1"/>
  <c r="I149" i="20"/>
  <c r="G148" i="20"/>
  <c r="J149" i="20"/>
  <c r="K149" i="20"/>
  <c r="V133" i="18" l="1"/>
  <c r="W133" i="18" s="1"/>
  <c r="G147" i="20"/>
  <c r="J148" i="20"/>
  <c r="K148" i="20"/>
  <c r="I148" i="20"/>
  <c r="H120" i="20"/>
  <c r="X13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34" i="18" l="1"/>
  <c r="I145" i="20"/>
  <c r="G144" i="20"/>
  <c r="K145" i="20"/>
  <c r="J145" i="20"/>
  <c r="G30" i="10"/>
  <c r="G31" i="10"/>
  <c r="G33" i="10"/>
  <c r="G34" i="10"/>
  <c r="G35" i="10"/>
  <c r="G29" i="10"/>
  <c r="W134" i="18" l="1"/>
  <c r="X134" i="18"/>
  <c r="G143" i="20"/>
  <c r="J144" i="20"/>
  <c r="K144" i="20"/>
  <c r="I144" i="20"/>
  <c r="H119" i="20"/>
  <c r="H118" i="20"/>
  <c r="S136" i="18" l="1"/>
  <c r="K143" i="20"/>
  <c r="I143" i="20"/>
  <c r="J143" i="20"/>
  <c r="G142" i="20"/>
  <c r="G63" i="13"/>
  <c r="F52" i="13"/>
  <c r="V13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37" i="18" l="1"/>
  <c r="V136" i="18"/>
  <c r="W135" i="18"/>
  <c r="X135" i="18"/>
  <c r="G140" i="20"/>
  <c r="I141" i="20"/>
  <c r="J141" i="20"/>
  <c r="K141" i="20"/>
  <c r="G61" i="13"/>
  <c r="W136" i="18" l="1"/>
  <c r="X136" i="18"/>
  <c r="S138" i="18"/>
  <c r="S139" i="18" s="1"/>
  <c r="V137" i="18"/>
  <c r="G139" i="20"/>
  <c r="K140" i="20"/>
  <c r="J140" i="20"/>
  <c r="I140" i="20"/>
  <c r="G60" i="13"/>
  <c r="W137" i="18" l="1"/>
  <c r="X137" i="18"/>
  <c r="V138" i="18"/>
  <c r="G138" i="20"/>
  <c r="K139" i="20"/>
  <c r="I139" i="20"/>
  <c r="J139" i="20"/>
  <c r="G59" i="13"/>
  <c r="F47" i="13"/>
  <c r="F48" i="13"/>
  <c r="F49" i="13"/>
  <c r="F50" i="13"/>
  <c r="F51" i="13"/>
  <c r="F53" i="13"/>
  <c r="F54" i="13"/>
  <c r="F55" i="13"/>
  <c r="D44" i="21"/>
  <c r="H116" i="20"/>
  <c r="X138" i="18" l="1"/>
  <c r="W138" i="18"/>
  <c r="G137" i="20"/>
  <c r="K138" i="20"/>
  <c r="J138" i="20"/>
  <c r="I138" i="20"/>
  <c r="G57" i="13"/>
  <c r="G58" i="13"/>
  <c r="V139" i="18" l="1"/>
  <c r="X139" i="18" s="1"/>
  <c r="S140" i="18"/>
  <c r="S141" i="18" s="1"/>
  <c r="G136" i="20"/>
  <c r="K137" i="20"/>
  <c r="I137" i="20"/>
  <c r="J137" i="20"/>
  <c r="G56" i="13"/>
  <c r="H115" i="20"/>
  <c r="F42" i="13"/>
  <c r="F43" i="13"/>
  <c r="F44" i="13"/>
  <c r="F45" i="13"/>
  <c r="F46" i="13"/>
  <c r="F41" i="13"/>
  <c r="F40" i="13"/>
  <c r="W139" i="18" l="1"/>
  <c r="V140" i="18"/>
  <c r="K136" i="20"/>
  <c r="J136" i="20"/>
  <c r="I136" i="20"/>
  <c r="G135" i="20"/>
  <c r="G55" i="13"/>
  <c r="W140" i="18" l="1"/>
  <c r="X140" i="18"/>
  <c r="G134" i="20"/>
  <c r="J135" i="20"/>
  <c r="K135" i="20"/>
  <c r="I135" i="20"/>
  <c r="G54" i="13"/>
  <c r="F39" i="13"/>
  <c r="V141" i="18" l="1"/>
  <c r="X141" i="18" s="1"/>
  <c r="S142"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41" i="18" l="1"/>
  <c r="S143" i="18"/>
  <c r="V14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43" i="18" l="1"/>
  <c r="W143" i="18" s="1"/>
  <c r="S144" i="18"/>
  <c r="W142" i="18"/>
  <c r="X142" i="18"/>
  <c r="G131" i="20"/>
  <c r="I132" i="20"/>
  <c r="J132" i="20"/>
  <c r="K132" i="20"/>
  <c r="E51" i="13"/>
  <c r="G52" i="13"/>
  <c r="F124" i="15"/>
  <c r="F122" i="15"/>
  <c r="F121" i="15"/>
  <c r="X143" i="18" l="1"/>
  <c r="S145" i="18"/>
  <c r="V144"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45" i="18" l="1"/>
  <c r="X145" i="18" s="1"/>
  <c r="S146" i="18"/>
  <c r="S147" i="18" s="1"/>
  <c r="S148" i="18" s="1"/>
  <c r="W144" i="18"/>
  <c r="X144" i="18"/>
  <c r="D371" i="20"/>
  <c r="I130" i="20"/>
  <c r="J130" i="20"/>
  <c r="G129" i="20"/>
  <c r="K130" i="20"/>
  <c r="E49" i="13"/>
  <c r="G50" i="13"/>
  <c r="W145" i="18" l="1"/>
  <c r="V146" i="18"/>
  <c r="G128" i="20"/>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46" i="18" l="1"/>
  <c r="X146" i="18"/>
  <c r="G127" i="20"/>
  <c r="K128" i="20"/>
  <c r="J128" i="20"/>
  <c r="I128" i="20"/>
  <c r="N62" i="18"/>
  <c r="E47" i="13"/>
  <c r="G48" i="13"/>
  <c r="F120" i="15"/>
  <c r="D55" i="17"/>
  <c r="V147" i="18" l="1"/>
  <c r="G126" i="20"/>
  <c r="I127" i="20"/>
  <c r="K127" i="20"/>
  <c r="J127" i="20"/>
  <c r="E46" i="13"/>
  <c r="G47" i="13"/>
  <c r="F119" i="15"/>
  <c r="V148" i="18" l="1"/>
  <c r="S149" i="18"/>
  <c r="W147" i="18"/>
  <c r="X147" i="18"/>
  <c r="W148" i="18"/>
  <c r="X148" i="18"/>
  <c r="G125" i="20"/>
  <c r="K126" i="20"/>
  <c r="J126" i="20"/>
  <c r="I126" i="20"/>
  <c r="E45" i="13"/>
  <c r="G46" i="13"/>
  <c r="F118" i="15"/>
  <c r="V149" i="18" l="1"/>
  <c r="S150" i="18"/>
  <c r="V150" i="18" s="1"/>
  <c r="X149" i="18"/>
  <c r="W149" i="18"/>
  <c r="G124" i="20"/>
  <c r="J125" i="20"/>
  <c r="K125" i="20"/>
  <c r="I125" i="20"/>
  <c r="E44" i="13"/>
  <c r="G45" i="13"/>
  <c r="F117" i="15"/>
  <c r="E101" i="18"/>
  <c r="D5" i="18"/>
  <c r="D6" i="18" s="1"/>
  <c r="D7" i="18" s="1"/>
  <c r="D8" i="18" s="1"/>
  <c r="D9" i="18" s="1"/>
  <c r="D10" i="18" s="1"/>
  <c r="D11" i="18" s="1"/>
  <c r="D12" i="18" s="1"/>
  <c r="D13" i="18" s="1"/>
  <c r="D14" i="18" s="1"/>
  <c r="D16" i="18" s="1"/>
  <c r="E16" i="18" s="1"/>
  <c r="C4" i="18"/>
  <c r="W150" i="18" l="1"/>
  <c r="X150" i="18"/>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2" i="18" s="1"/>
  <c r="F24" i="18" l="1"/>
  <c r="G113" i="20"/>
  <c r="J114" i="20"/>
  <c r="I114" i="20"/>
  <c r="K114" i="20"/>
  <c r="L63" i="18"/>
  <c r="E33" i="13"/>
  <c r="G34" i="13"/>
  <c r="F108" i="15"/>
  <c r="C20" i="18"/>
  <c r="G20" i="14"/>
  <c r="G21" i="14"/>
  <c r="G112" i="20" l="1"/>
  <c r="K113" i="20"/>
  <c r="J113" i="20"/>
  <c r="I113" i="20"/>
  <c r="L6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6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<sst xmlns="http://schemas.openxmlformats.org/spreadsheetml/2006/main" count="13629" uniqueCount="5610">
  <si>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</si>
  <si>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</si>
  <si>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</si>
  <si>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</si>
  <si>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</si>
  <si>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</si>
  <si>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</si>
  <si>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</si>
  <si>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</si>
  <si>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</si>
  <si>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</si>
  <si>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</si>
  <si>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</si>
  <si>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</si>
  <si>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</si>
  <si>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</si>
  <si>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</si>
  <si>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</si>
  <si>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</si>
  <si>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</si>
  <si>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</si>
  <si>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</si>
  <si>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</si>
  <si>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</si>
  <si>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</si>
  <si>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</si>
  <si>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</si>
  <si>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</si>
  <si>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</si>
  <si>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</si>
  <si>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</si>
  <si>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</si>
  <si>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</si>
  <si>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</si>
  <si>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</si>
  <si>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</si>
  <si>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</si>
  <si>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</si>
  <si>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</si>
  <si>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</si>
  <si>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</si>
  <si>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</si>
  <si>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</si>
  <si>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</si>
  <si>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</si>
  <si>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</si>
  <si>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</si>
  <si>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</si>
  <si>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</si>
  <si>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</si>
  <si>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</si>
  <si>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</si>
  <si>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</si>
  <si>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</si>
  <si>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</si>
  <si>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</si>
  <si>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</si>
  <si>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</si>
  <si>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</si>
  <si>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</si>
  <si>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</si>
  <si>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</si>
  <si>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</si>
  <si>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</si>
  <si>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</si>
  <si>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</si>
  <si>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</si>
  <si>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</si>
  <si>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</si>
  <si>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</si>
  <si>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</si>
  <si>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</si>
  <si>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</si>
  <si>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</si>
  <si>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</si>
  <si>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</si>
  <si>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</si>
  <si>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</si>
  <si>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</si>
  <si>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</si>
  <si>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</si>
  <si>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</si>
  <si>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</si>
  <si>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</si>
  <si>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</si>
  <si>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</si>
  <si>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</si>
  <si>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</si>
  <si>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</si>
  <si>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</si>
  <si>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</si>
  <si>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</si>
  <si>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</si>
  <si>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</si>
  <si>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</si>
  <si>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</si>
  <si>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</si>
  <si>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</si>
  <si>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</si>
  <si>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</si>
  <si>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</si>
  <si>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</si>
  <si>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</si>
  <si>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</si>
  <si>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</si>
  <si>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</si>
  <si>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</si>
  <si>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</si>
  <si>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</si>
  <si>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</si>
  <si>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</si>
  <si>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</si>
  <si>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</si>
  <si>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</si>
  <si>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</si>
  <si>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</si>
  <si>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</si>
  <si>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</si>
  <si>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</si>
  <si>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</si>
  <si>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</si>
  <si>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</si>
  <si>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</si>
  <si>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</si>
  <si>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</si>
  <si>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</si>
  <si>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</si>
  <si>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</si>
  <si>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</si>
  <si>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</si>
  <si>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</si>
  <si>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</si>
  <si>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</si>
  <si>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</si>
  <si>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</si>
  <si>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</si>
  <si>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</si>
  <si>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</si>
  <si>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</si>
  <si>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</si>
  <si>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</si>
  <si>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</si>
  <si>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</si>
  <si>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</si>
  <si>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</si>
  <si>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</si>
  <si>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</si>
  <si>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</si>
  <si>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</si>
  <si>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</si>
  <si>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</si>
  <si>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</si>
  <si>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</si>
  <si>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</si>
  <si>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</si>
  <si>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</si>
  <si>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</si>
  <si>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</si>
  <si>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</si>
  <si>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</si>
  <si>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</si>
  <si>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</si>
  <si>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</si>
  <si>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</si>
  <si>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</si>
  <si>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</si>
  <si>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</si>
  <si>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</si>
  <si>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</si>
  <si>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</si>
  <si>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</si>
  <si>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</si>
  <si>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</si>
  <si>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</si>
  <si>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</si>
  <si>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</si>
  <si>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</si>
  <si>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</si>
  <si>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</si>
  <si>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</si>
  <si>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</si>
  <si>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</si>
  <si>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</si>
  <si>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</si>
  <si>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</si>
  <si>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</si>
  <si>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</si>
  <si>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</si>
  <si>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</si>
  <si>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</si>
  <si>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</si>
  <si>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</si>
  <si>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</si>
  <si>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</si>
  <si>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</si>
  <si>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</si>
  <si>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</si>
  <si>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</si>
  <si>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</si>
  <si>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</si>
  <si>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</si>
  <si>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</si>
  <si>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</si>
  <si>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</si>
  <si>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</si>
  <si>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</si>
  <si>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</si>
  <si>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</si>
  <si>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</si>
  <si>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</si>
  <si>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</si>
  <si>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</si>
  <si>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</si>
  <si>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</si>
  <si>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</si>
  <si>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</si>
  <si>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</si>
  <si>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</si>
  <si>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</si>
  <si>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</si>
  <si>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</si>
  <si>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</si>
  <si>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</si>
  <si>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</si>
  <si>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</si>
  <si>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</si>
  <si>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</si>
  <si>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</si>
  <si>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</si>
  <si>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</si>
  <si>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</si>
  <si>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</si>
  <si>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</si>
  <si>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</si>
  <si>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</si>
  <si>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</si>
  <si>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</si>
  <si>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</si>
  <si>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</si>
  <si>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</si>
  <si>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</si>
  <si>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</si>
  <si>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</si>
  <si>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</si>
  <si>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</si>
  <si>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</si>
  <si>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</si>
  <si>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</si>
  <si>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</si>
  <si>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</si>
  <si>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</si>
  <si>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</si>
  <si>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</si>
  <si>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</si>
  <si>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</si>
  <si>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</si>
  <si>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</si>
  <si>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</si>
  <si>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</si>
  <si>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</si>
  <si>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</si>
  <si>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</si>
  <si>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</si>
  <si>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</si>
  <si>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</si>
  <si>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</si>
  <si>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</si>
  <si>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</si>
  <si>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</si>
  <si>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</si>
  <si>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</si>
  <si>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</si>
  <si>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</si>
  <si>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</si>
  <si>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</si>
  <si>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</si>
  <si>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</si>
  <si>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</si>
  <si>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</si>
  <si>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</si>
  <si>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</si>
  <si>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</si>
  <si>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</si>
  <si>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</si>
  <si>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</si>
  <si>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</si>
  <si>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</si>
  <si>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</si>
  <si>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</si>
  <si>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</si>
  <si>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</si>
  <si>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</si>
  <si>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</si>
  <si>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</si>
  <si>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</si>
  <si>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</si>
  <si>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</si>
  <si>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</si>
  <si>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</si>
  <si>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</si>
  <si>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</si>
  <si>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</si>
  <si>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</si>
  <si>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</si>
  <si>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</si>
  <si>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</si>
  <si>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</si>
  <si>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</si>
  <si>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</si>
  <si>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</si>
  <si>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</si>
  <si>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</si>
  <si>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</si>
  <si>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</si>
  <si>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</si>
  <si>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</si>
  <si>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</si>
  <si>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</si>
  <si>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</si>
  <si>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</si>
  <si>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</si>
  <si>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</si>
  <si>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</si>
  <si>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</si>
  <si>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</si>
  <si>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</si>
  <si>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</si>
  <si>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</si>
  <si>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</si>
  <si>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</si>
  <si>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</si>
  <si>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</si>
  <si>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</si>
  <si>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</si>
  <si>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</si>
  <si>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</si>
  <si>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</si>
  <si>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</si>
  <si>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</si>
  <si>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</si>
  <si>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</si>
  <si>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</si>
  <si>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</si>
  <si>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</si>
  <si>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</si>
  <si>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</si>
  <si>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</si>
  <si>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</si>
  <si>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</si>
  <si>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</si>
  <si>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</si>
  <si>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</si>
  <si>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</si>
  <si>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</si>
  <si>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</si>
  <si>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</si>
  <si>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</si>
  <si>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</si>
  <si>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</si>
  <si>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</si>
  <si>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</si>
  <si>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</si>
  <si>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</si>
  <si>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</si>
  <si>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</si>
  <si>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</si>
  <si>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</si>
  <si>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</si>
  <si>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</si>
  <si>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</si>
  <si>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</si>
  <si>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</si>
  <si>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</si>
  <si>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</si>
  <si>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</si>
  <si>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</si>
  <si>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</si>
  <si>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</si>
  <si>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</si>
  <si>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</si>
  <si>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</si>
  <si>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</si>
  <si>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</si>
  <si>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</si>
  <si>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</si>
  <si>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</si>
  <si>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</si>
  <si>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</si>
  <si>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</si>
  <si>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</si>
  <si>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</si>
  <si>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</si>
  <si>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</si>
  <si>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</si>
  <si>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</si>
  <si>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</si>
  <si>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</si>
  <si>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</si>
  <si>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</si>
  <si>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</si>
  <si>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</si>
  <si>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</si>
  <si>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</si>
  <si>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</si>
  <si>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</si>
  <si>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</si>
  <si>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</si>
  <si>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</si>
  <si>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</si>
  <si>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</si>
  <si>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</si>
  <si>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</si>
  <si>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</si>
  <si>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</si>
  <si>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</si>
  <si>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</si>
  <si>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</si>
  <si>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</si>
  <si>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</si>
  <si>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</si>
  <si>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</si>
  <si>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</si>
  <si>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</si>
  <si>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</si>
  <si>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</si>
  <si>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</si>
  <si>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</si>
  <si>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</si>
  <si>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</si>
  <si>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</si>
  <si>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</si>
  <si>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</si>
  <si>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</si>
  <si>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</si>
  <si>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</si>
  <si>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</si>
  <si>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</si>
  <si>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</si>
  <si>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</si>
  <si>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</si>
  <si>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</si>
  <si>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</si>
  <si>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</si>
  <si>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</si>
  <si>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</si>
  <si>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</si>
  <si>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</si>
  <si>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</si>
  <si>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</si>
  <si>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</si>
  <si>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</si>
  <si>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</si>
  <si>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</si>
  <si>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</si>
  <si>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</si>
  <si>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</si>
  <si>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</si>
  <si>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</si>
  <si>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</si>
  <si>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</si>
  <si>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</si>
  <si>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</si>
  <si>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</si>
  <si>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</si>
  <si>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</si>
  <si>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</si>
  <si>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</si>
  <si>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</si>
  <si>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</si>
  <si>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</si>
  <si>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</si>
  <si>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</si>
  <si>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</si>
  <si>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</si>
  <si>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</si>
  <si>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</si>
  <si>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</si>
  <si>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</si>
  <si>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</si>
  <si>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</si>
  <si>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</si>
  <si>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</si>
  <si>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</si>
  <si>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</si>
  <si>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</si>
  <si>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</si>
  <si>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</si>
  <si>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</si>
  <si>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</si>
  <si>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</si>
  <si>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</si>
  <si>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</si>
  <si>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</si>
  <si>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</si>
  <si>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</si>
  <si>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</si>
  <si>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</si>
  <si>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</si>
  <si>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</si>
  <si>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</si>
  <si>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</si>
  <si>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</si>
  <si>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</si>
  <si>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</si>
  <si>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</si>
  <si>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</si>
  <si>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</si>
  <si>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</si>
  <si>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</si>
  <si>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</si>
  <si>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</si>
  <si>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</si>
  <si>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</si>
  <si>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</si>
  <si>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</si>
  <si>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</si>
  <si>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</si>
  <si>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</si>
  <si>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</si>
  <si>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</si>
  <si>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</si>
  <si>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</si>
  <si>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</si>
  <si>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</si>
  <si>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</si>
  <si>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</si>
  <si>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</si>
  <si>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</si>
  <si>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</si>
  <si>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</si>
  <si>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</si>
  <si>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</si>
  <si>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</si>
  <si>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</si>
  <si>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</si>
  <si>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</si>
  <si>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</si>
  <si>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</si>
  <si>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</si>
  <si>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</si>
  <si>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</si>
  <si>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</si>
  <si>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</si>
  <si>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</si>
  <si>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</si>
  <si>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</si>
  <si>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</si>
  <si>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</si>
  <si>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</si>
  <si>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</si>
  <si>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</si>
  <si>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</si>
  <si>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</si>
  <si>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</si>
  <si>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</si>
  <si>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</si>
  <si>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</si>
  <si>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</si>
  <si>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</si>
  <si>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</si>
  <si>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</si>
  <si>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</si>
  <si>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</si>
  <si>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</si>
  <si>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</si>
  <si>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</si>
  <si>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</si>
  <si>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</si>
  <si>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</si>
  <si>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</si>
  <si>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</si>
  <si>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</si>
  <si>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</si>
  <si>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</si>
  <si>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</si>
  <si>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</si>
  <si>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</si>
  <si>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</si>
  <si>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</si>
  <si>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</si>
  <si>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</si>
  <si>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</si>
  <si>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</si>
  <si>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</si>
  <si>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</si>
  <si>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</si>
  <si>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</si>
  <si>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</si>
  <si>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</si>
  <si>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</si>
  <si>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</si>
  <si>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</si>
  <si>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</si>
  <si>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</si>
  <si>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</si>
  <si>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</si>
  <si>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</si>
  <si>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</si>
  <si>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</si>
  <si>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</si>
  <si>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</si>
  <si>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</si>
  <si>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</si>
  <si>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</si>
  <si>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</si>
  <si>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</si>
  <si>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</si>
  <si>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</si>
  <si>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</si>
  <si>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</si>
  <si>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</si>
  <si>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</si>
  <si>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</si>
  <si>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</si>
  <si>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</si>
  <si>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</si>
  <si>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</si>
  <si>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</si>
  <si>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</si>
  <si>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</si>
  <si>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</si>
  <si>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</si>
  <si>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</si>
  <si>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</si>
  <si>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</si>
  <si>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</si>
  <si>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</si>
  <si>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</si>
  <si>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</si>
  <si>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</si>
  <si>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</si>
  <si>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</si>
  <si>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</si>
  <si>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</si>
  <si>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</si>
  <si>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</si>
  <si>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</si>
  <si>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</si>
  <si>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</si>
  <si>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</si>
  <si>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</si>
  <si>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</si>
  <si>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</si>
  <si>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</si>
  <si>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</si>
  <si>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</si>
  <si>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</si>
  <si>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</si>
  <si>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</si>
  <si>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</si>
  <si>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</si>
  <si>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</si>
  <si>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</si>
  <si>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</si>
  <si>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</si>
  <si>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</si>
  <si>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</si>
  <si>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</si>
  <si>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</si>
  <si>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</si>
  <si>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</si>
  <si>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</si>
  <si>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</si>
  <si>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</si>
  <si>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</si>
  <si>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</si>
  <si>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</si>
  <si>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</si>
  <si>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</si>
  <si>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</si>
  <si>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</si>
  <si>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</si>
  <si>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</si>
  <si>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</si>
  <si>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</si>
  <si>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</si>
  <si>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</si>
  <si>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</si>
  <si>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</si>
  <si>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</si>
  <si>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</si>
  <si>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</si>
  <si>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</si>
  <si>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</si>
  <si>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</si>
  <si>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</si>
  <si>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</si>
  <si>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</si>
  <si>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</si>
  <si>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</si>
  <si>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</si>
  <si>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</si>
  <si>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</si>
  <si>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</si>
  <si>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</si>
  <si>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</si>
  <si>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</si>
  <si>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</si>
  <si>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</si>
  <si>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</si>
  <si>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</si>
  <si>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</si>
  <si>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</si>
  <si>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</si>
  <si>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</si>
  <si>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</si>
  <si>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</si>
  <si>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</si>
  <si>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</si>
  <si>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</si>
  <si>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</si>
  <si>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</si>
  <si>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</si>
  <si>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</si>
  <si>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</si>
  <si>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</si>
  <si>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</si>
  <si>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</si>
  <si>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</si>
  <si>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</si>
  <si>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</si>
  <si>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</si>
  <si>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</si>
  <si>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</si>
  <si>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</si>
  <si>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</si>
  <si>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</si>
  <si>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</si>
  <si>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</si>
  <si>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</si>
  <si>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</si>
  <si>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</si>
  <si>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</si>
  <si>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</si>
  <si>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</si>
  <si>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</si>
  <si>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</si>
  <si>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</si>
  <si>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</si>
  <si>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</si>
  <si>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</si>
  <si>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</si>
  <si>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</si>
  <si>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</si>
  <si>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</si>
  <si>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</si>
  <si>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</si>
  <si>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</si>
  <si>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</si>
  <si>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</si>
  <si>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</si>
  <si>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</si>
  <si>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</si>
  <si>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</si>
  <si>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</si>
  <si>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</si>
  <si>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</si>
  <si>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</si>
  <si>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</si>
  <si>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</si>
  <si>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</si>
  <si>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</si>
  <si>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</si>
  <si>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</si>
  <si>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</si>
  <si>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</si>
  <si>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</si>
  <si>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</si>
  <si>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</si>
  <si>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</si>
  <si>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</si>
  <si>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</si>
  <si>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</si>
  <si>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</si>
  <si>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</si>
  <si>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</si>
  <si>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</si>
  <si>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</si>
  <si>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</si>
  <si>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</si>
  <si>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</si>
  <si>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</si>
  <si>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</si>
  <si>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</si>
  <si>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</si>
  <si>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</si>
  <si>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</si>
  <si>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</si>
  <si>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</si>
  <si>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</si>
  <si>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</si>
  <si>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</si>
  <si>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</si>
  <si>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</si>
  <si>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</si>
  <si>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</si>
  <si>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</si>
  <si>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</si>
  <si>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</si>
  <si>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</si>
  <si>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</si>
  <si>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</si>
  <si>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</si>
  <si>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</si>
  <si>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</si>
  <si>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</si>
  <si>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</si>
  <si>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</si>
  <si>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</si>
  <si>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</si>
  <si>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</si>
  <si>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</si>
  <si>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</si>
  <si>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</si>
  <si>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</si>
  <si>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</si>
  <si>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</si>
  <si>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</si>
  <si>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</si>
  <si>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</si>
  <si>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</si>
  <si>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</si>
  <si>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</si>
  <si>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</si>
  <si>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</si>
  <si>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</si>
  <si>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</si>
  <si>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</si>
  <si>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</si>
  <si>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</si>
  <si>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</si>
  <si>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</si>
  <si>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</si>
  <si>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</si>
  <si>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</si>
  <si>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</si>
  <si>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</si>
  <si>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</si>
  <si>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</si>
  <si>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</si>
  <si>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</si>
  <si>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</si>
  <si>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</si>
  <si>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</si>
  <si>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</si>
  <si>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</si>
  <si>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</si>
  <si>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</si>
  <si>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</si>
  <si>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</si>
  <si>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</si>
  <si>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</si>
  <si>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</si>
  <si>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</si>
  <si>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</si>
  <si>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</si>
  <si>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</si>
  <si>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</si>
  <si>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</si>
  <si>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</si>
  <si>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</si>
  <si>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</si>
  <si>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</si>
  <si>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</si>
  <si>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</si>
  <si>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</si>
  <si>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</si>
  <si>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</si>
  <si>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</si>
  <si>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</si>
  <si>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</si>
  <si>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</si>
  <si>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</si>
  <si>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</si>
  <si>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</si>
  <si>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</si>
  <si>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</si>
  <si>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</si>
  <si>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</si>
  <si>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</si>
  <si>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</si>
  <si>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</si>
  <si>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</si>
  <si>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</si>
  <si>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</si>
  <si>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</si>
  <si>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</si>
  <si>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</si>
  <si>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</si>
  <si>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</si>
  <si>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</si>
  <si>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</si>
  <si>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</si>
  <si>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</si>
  <si>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</si>
  <si>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</si>
  <si>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</si>
  <si>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</si>
  <si>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</si>
  <si>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</si>
  <si>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</si>
  <si>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</si>
  <si>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</si>
  <si>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</si>
  <si>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</si>
  <si>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</si>
  <si>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</si>
  <si>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</si>
  <si>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</si>
  <si>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</si>
  <si>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</si>
  <si>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</si>
  <si>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</si>
  <si>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</si>
  <si>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</si>
  <si>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</si>
  <si>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</si>
  <si>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</si>
  <si>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</si>
  <si>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</si>
  <si>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</si>
  <si>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</si>
  <si>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</si>
  <si>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</si>
  <si>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</si>
  <si>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</si>
  <si>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</si>
  <si>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</si>
  <si>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</si>
  <si>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</si>
  <si>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</si>
  <si>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</si>
  <si>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</si>
  <si>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</si>
  <si>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</si>
  <si>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</si>
  <si>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</si>
  <si>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</si>
  <si>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</si>
  <si>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</si>
  <si>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</si>
  <si>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</si>
  <si>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</si>
  <si>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</si>
  <si>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</si>
  <si>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</si>
  <si>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</si>
  <si>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</si>
  <si>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</si>
  <si>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</si>
  <si>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</si>
  <si>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</si>
  <si>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</si>
  <si>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</si>
  <si>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</si>
  <si>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</si>
  <si>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</si>
  <si>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</si>
  <si>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</si>
  <si>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</si>
  <si>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</si>
  <si>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</si>
  <si>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</si>
  <si>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</si>
  <si>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</si>
  <si>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</si>
  <si>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</si>
  <si>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</si>
  <si>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</si>
  <si>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</si>
  <si>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</si>
  <si>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</si>
  <si>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</si>
  <si>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</si>
  <si>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</si>
  <si>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</si>
  <si>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</si>
  <si>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</si>
  <si>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</si>
  <si>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</si>
  <si>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</si>
  <si>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</si>
  <si>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</si>
  <si>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</si>
  <si>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</si>
  <si>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</si>
  <si>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</si>
  <si>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</si>
  <si>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</si>
  <si>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</si>
  <si>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</si>
  <si>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</si>
  <si>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</si>
  <si>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</si>
  <si>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</si>
  <si>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</si>
  <si>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</si>
  <si>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</si>
  <si>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</si>
  <si>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</si>
  <si>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</si>
  <si>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</si>
  <si>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</si>
  <si>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</si>
  <si>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</si>
  <si>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</si>
  <si>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</si>
  <si>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</si>
  <si>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</si>
  <si>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</si>
  <si>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</si>
  <si>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</si>
  <si>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</si>
  <si>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</si>
  <si>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</si>
  <si>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</si>
  <si>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</si>
  <si>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</si>
  <si>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</si>
  <si>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</si>
  <si>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</si>
  <si>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</si>
  <si>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</si>
  <si>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</si>
  <si>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</si>
  <si>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</si>
  <si>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</si>
  <si>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</si>
  <si>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</si>
  <si>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</si>
  <si>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</si>
  <si>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</si>
  <si>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</si>
  <si>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</si>
  <si>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</si>
  <si>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</si>
  <si>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</si>
  <si>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</si>
  <si>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</si>
  <si>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</si>
  <si>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</si>
  <si>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</si>
  <si>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</si>
  <si>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</si>
  <si>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</si>
  <si>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</si>
  <si>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</si>
  <si>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</si>
  <si>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</si>
  <si>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</si>
  <si>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</si>
  <si>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</si>
  <si>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</si>
  <si>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</si>
  <si>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</si>
  <si>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</si>
  <si>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</si>
  <si>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</si>
  <si>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</si>
  <si>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</si>
  <si>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</si>
  <si>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</si>
  <si>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</si>
  <si>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</si>
  <si>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</si>
  <si>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</si>
  <si>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</si>
  <si>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</si>
  <si>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</si>
  <si>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</si>
  <si>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</si>
  <si>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</si>
  <si>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</si>
  <si>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</si>
  <si>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</si>
  <si>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</si>
  <si>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</si>
  <si>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</si>
  <si>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</si>
  <si>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</si>
  <si>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</si>
  <si>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</si>
  <si>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</si>
  <si>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</si>
  <si>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</si>
  <si>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</si>
  <si>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</si>
  <si>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</si>
  <si>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</si>
  <si>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</si>
  <si>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</si>
  <si>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</si>
  <si>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</si>
  <si>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</si>
  <si>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</si>
  <si>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</si>
  <si>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</si>
  <si>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</si>
  <si>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</si>
  <si>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</si>
  <si>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</si>
  <si>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</si>
  <si>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</si>
  <si>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</si>
  <si>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</si>
  <si>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</si>
  <si>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</si>
  <si>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</si>
  <si>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</si>
  <si>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</si>
  <si>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</si>
  <si>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</si>
  <si>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</si>
  <si>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</si>
  <si>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</si>
  <si>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</si>
  <si>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</si>
  <si>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</si>
  <si>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</si>
  <si>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</si>
  <si>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</si>
  <si>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</si>
  <si>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</si>
  <si>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</si>
  <si>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</si>
  <si>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</si>
  <si>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</si>
  <si>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</si>
  <si>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</si>
  <si>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</si>
  <si>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</si>
  <si>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</si>
  <si>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</si>
  <si>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</si>
  <si>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</si>
  <si>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</si>
  <si>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</si>
  <si>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</si>
  <si>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</si>
  <si>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</si>
  <si>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</si>
  <si>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</si>
  <si>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</si>
  <si>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</si>
  <si>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</si>
  <si>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</si>
  <si>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</si>
  <si>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</si>
  <si>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</si>
  <si>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</si>
  <si>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</si>
  <si>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</si>
  <si>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</si>
  <si>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</si>
  <si>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</si>
  <si>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</si>
  <si>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</si>
  <si>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</si>
  <si>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</si>
  <si>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</si>
  <si>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</si>
  <si>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</si>
  <si>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</si>
  <si>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</si>
  <si>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</si>
  <si>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</si>
  <si>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</si>
  <si>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</si>
  <si>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</si>
  <si>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</si>
  <si>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</si>
  <si>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</si>
  <si>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</si>
  <si>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</si>
  <si>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</si>
  <si>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</si>
  <si>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</si>
  <si>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</si>
  <si>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</si>
  <si>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</si>
  <si>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</si>
  <si>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</si>
  <si>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</si>
  <si>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</si>
  <si>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</si>
  <si>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</si>
  <si>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</si>
  <si>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</si>
  <si>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</si>
  <si>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</si>
  <si>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</si>
  <si>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</si>
  <si>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</si>
  <si>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</si>
  <si>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</si>
  <si>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</si>
  <si>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</si>
  <si>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</si>
  <si>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</si>
  <si>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</si>
  <si>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</si>
  <si>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</si>
  <si>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</si>
  <si>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</si>
  <si>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</si>
  <si>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</si>
  <si>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</si>
  <si>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</si>
  <si>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</si>
  <si>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</si>
  <si>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</si>
  <si>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</si>
  <si>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</si>
  <si>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</si>
  <si>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</si>
  <si>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</si>
  <si>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</si>
  <si>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</si>
  <si>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</si>
  <si>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</si>
  <si>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</si>
  <si>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</si>
  <si>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</si>
  <si>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</si>
  <si>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</si>
  <si>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</si>
  <si>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</si>
  <si>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</si>
  <si>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</si>
  <si>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</si>
  <si>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</si>
  <si>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</si>
  <si>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</si>
  <si>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</si>
  <si>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</si>
  <si>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</si>
  <si>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</si>
  <si>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</si>
  <si>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</si>
  <si>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</si>
  <si>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</si>
  <si>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</si>
  <si>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</si>
  <si>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</si>
  <si>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</si>
  <si>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</si>
  <si>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</si>
  <si>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</si>
  <si>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</si>
  <si>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</si>
  <si>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</si>
  <si>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</si>
  <si>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</si>
  <si>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</si>
  <si>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</si>
  <si>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</si>
  <si>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</si>
  <si>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</si>
  <si>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</si>
  <si>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</si>
  <si>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</si>
  <si>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</si>
  <si>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</si>
  <si>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</si>
  <si>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</si>
  <si>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</si>
  <si>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</si>
  <si>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</si>
  <si>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</si>
  <si>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</si>
  <si>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</si>
  <si>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</si>
  <si>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</si>
  <si>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</si>
  <si>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</si>
  <si>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</si>
  <si>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</si>
  <si>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</si>
  <si>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</si>
  <si>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</si>
  <si>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</si>
  <si>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</si>
  <si>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</si>
  <si>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</si>
  <si>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</si>
  <si>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</si>
  <si>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</si>
  <si>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</si>
  <si>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</si>
  <si>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</si>
  <si>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</si>
  <si>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</si>
  <si>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</si>
  <si>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</si>
  <si>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</si>
  <si>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</si>
  <si>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</si>
  <si>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</si>
  <si>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</si>
  <si>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</si>
  <si>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</si>
  <si>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</si>
  <si>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</si>
  <si>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</si>
  <si>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</si>
  <si>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</si>
  <si>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</si>
  <si>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</si>
  <si>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</si>
  <si>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</si>
  <si>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</si>
  <si>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</si>
  <si>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</si>
  <si>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</si>
  <si>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</si>
  <si>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</si>
  <si>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</si>
  <si>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</si>
  <si>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</si>
  <si>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</si>
  <si>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</si>
  <si>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</si>
  <si>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</si>
  <si>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</si>
  <si>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</si>
  <si>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</si>
  <si>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</si>
  <si>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</si>
  <si>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</si>
  <si>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</si>
  <si>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</si>
  <si>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</si>
  <si>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</si>
  <si>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</si>
  <si>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</si>
  <si>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</si>
  <si>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</si>
  <si>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</si>
  <si>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</si>
  <si>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</si>
  <si>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</si>
  <si>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</si>
  <si>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</si>
  <si>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</si>
  <si>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</si>
  <si>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</si>
  <si>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</si>
  <si>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</si>
  <si>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</si>
  <si>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</si>
  <si>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</si>
  <si>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</si>
  <si>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</si>
  <si>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</si>
  <si>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</si>
  <si>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</si>
  <si>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</si>
  <si>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</si>
  <si>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</si>
  <si>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</si>
  <si>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</si>
  <si>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</si>
  <si>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</si>
  <si>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</si>
  <si>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</si>
  <si>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</si>
  <si>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</si>
  <si>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</si>
  <si>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</si>
  <si>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</si>
  <si>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</si>
  <si>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</si>
  <si>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</si>
  <si>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</si>
  <si>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</si>
  <si>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</si>
  <si>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</si>
  <si>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</si>
  <si>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</si>
  <si>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</si>
  <si>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</si>
  <si>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</si>
  <si>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</si>
  <si>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</si>
  <si>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</si>
  <si>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</si>
  <si>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</si>
  <si>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</si>
  <si>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</si>
  <si>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</si>
  <si>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</si>
  <si>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</si>
  <si>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</si>
  <si>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</si>
  <si>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</si>
  <si>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</si>
  <si>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</si>
  <si>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</si>
  <si>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</si>
  <si>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</si>
  <si>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</si>
  <si>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</si>
  <si>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</si>
  <si>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</si>
  <si>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</si>
  <si>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</si>
  <si>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</si>
  <si>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</si>
  <si>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</si>
  <si>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</si>
  <si>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</si>
  <si>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</si>
  <si>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</si>
  <si>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</si>
  <si>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</si>
  <si>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</si>
  <si>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</si>
  <si>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</si>
  <si>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</si>
  <si>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</si>
  <si>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</si>
  <si>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</si>
  <si>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</si>
  <si>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</si>
  <si>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</si>
  <si>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</si>
  <si>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</si>
  <si>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</si>
  <si>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</si>
  <si>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</si>
  <si>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</si>
  <si>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</si>
  <si>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</si>
  <si>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</si>
  <si>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</si>
  <si>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</si>
  <si>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</si>
  <si>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</si>
  <si>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</si>
  <si>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</si>
  <si>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</si>
  <si>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</si>
  <si>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</si>
  <si>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</si>
  <si>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</si>
  <si>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</si>
  <si>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</si>
  <si>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</si>
  <si>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</si>
  <si>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</si>
  <si>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</si>
  <si>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</si>
  <si>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</si>
  <si>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</si>
  <si>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</si>
  <si>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</si>
  <si>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</si>
  <si>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</si>
  <si>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</si>
  <si>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</si>
  <si>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</si>
  <si>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</si>
  <si>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</si>
  <si>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</si>
  <si>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</si>
  <si>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</si>
  <si>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</si>
  <si>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</si>
  <si>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</si>
  <si>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</si>
  <si>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</si>
  <si>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</si>
  <si>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</si>
  <si>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</si>
  <si>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</si>
  <si>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</si>
  <si>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</si>
  <si>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</si>
  <si>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</si>
  <si>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</si>
  <si>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</si>
  <si>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</si>
  <si>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</si>
  <si>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</si>
  <si>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</si>
  <si>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</si>
  <si>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</si>
  <si>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</si>
  <si>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</si>
  <si>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</si>
  <si>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</si>
  <si>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</si>
  <si>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</si>
  <si>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</si>
  <si>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</si>
  <si>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</si>
  <si>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</si>
  <si>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</si>
  <si>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</si>
  <si>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</si>
  <si>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</si>
  <si>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</si>
  <si>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</si>
  <si>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</si>
  <si>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</si>
  <si>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</si>
  <si>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</si>
  <si>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</si>
  <si>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</si>
  <si>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</si>
  <si>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</si>
  <si>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</si>
  <si>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</si>
  <si>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</si>
  <si>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</si>
  <si>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</si>
  <si>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</si>
  <si>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</si>
  <si>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</si>
  <si>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</si>
  <si>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</si>
  <si>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</si>
  <si>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</si>
  <si>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</si>
  <si>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</si>
  <si>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</si>
  <si>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</si>
  <si>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</si>
  <si>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</si>
  <si>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</si>
  <si>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</si>
  <si>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</si>
  <si>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</si>
  <si>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</si>
  <si>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</si>
  <si>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</si>
  <si>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</si>
  <si>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</si>
  <si>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</si>
  <si>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</si>
  <si>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</si>
  <si>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</si>
  <si>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</si>
  <si>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</si>
  <si>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</si>
  <si>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</si>
  <si>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</si>
  <si>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</si>
  <si>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</si>
  <si>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</si>
  <si>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</si>
  <si>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</si>
  <si>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</si>
  <si>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</si>
  <si>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</si>
  <si>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</si>
  <si>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</si>
  <si>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</si>
  <si>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</si>
  <si>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</si>
  <si>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</si>
  <si>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</si>
  <si>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</si>
  <si>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</si>
  <si>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</si>
  <si>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</si>
  <si>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</si>
  <si>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</si>
  <si>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</si>
  <si>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</si>
  <si>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</si>
  <si>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</si>
  <si>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</si>
  <si>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</si>
  <si>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</si>
  <si>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</si>
  <si>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</si>
  <si>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</si>
  <si>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</si>
  <si>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</si>
  <si>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</si>
  <si>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</si>
  <si>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</si>
  <si>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</si>
  <si>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</si>
  <si>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</si>
  <si>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</si>
  <si>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</si>
  <si>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</si>
  <si>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</si>
  <si>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</si>
  <si>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</si>
  <si>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</si>
  <si>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</si>
  <si>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</si>
  <si>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</si>
  <si>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</si>
  <si>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</si>
  <si>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</si>
  <si>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</si>
  <si>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</si>
  <si>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</si>
  <si>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</si>
  <si>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</si>
  <si>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</si>
  <si>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</si>
  <si>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</si>
  <si>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</si>
  <si>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</si>
  <si>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</si>
  <si>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</si>
  <si>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</si>
  <si>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</si>
  <si>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</si>
  <si>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</si>
  <si>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</si>
  <si>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</si>
  <si>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</si>
  <si>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</si>
  <si>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</si>
  <si>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</si>
  <si>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</si>
  <si>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</si>
  <si>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</si>
  <si>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</si>
  <si>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</si>
  <si>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</si>
  <si>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</si>
  <si>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</si>
  <si>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</si>
  <si>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</si>
  <si>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</si>
  <si>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</si>
  <si>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</si>
  <si>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</si>
  <si>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</si>
  <si>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</si>
  <si>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</si>
  <si>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</si>
  <si>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</si>
  <si>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</si>
  <si>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</si>
  <si>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</si>
  <si>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</si>
  <si>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</si>
  <si>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</si>
  <si>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</si>
  <si>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</si>
  <si>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</si>
  <si>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</si>
  <si>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</si>
  <si>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</si>
  <si>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</si>
  <si>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</si>
  <si>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</si>
  <si>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</si>
  <si>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</si>
  <si>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</si>
  <si>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</si>
  <si>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</si>
  <si>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</si>
  <si>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</si>
  <si>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</si>
  <si>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</si>
  <si>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</si>
  <si>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</si>
  <si>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</si>
  <si>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</si>
  <si>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</si>
  <si>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</si>
  <si>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</si>
  <si>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</si>
  <si>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</si>
  <si>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</si>
  <si>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</si>
  <si>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</si>
  <si>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</si>
  <si>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</si>
  <si>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</si>
  <si>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</si>
  <si>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</si>
  <si>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</si>
  <si>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</si>
  <si>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</si>
  <si>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</si>
  <si>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</si>
  <si>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</si>
  <si>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</si>
  <si>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</si>
  <si>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</si>
  <si>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</si>
  <si>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</si>
  <si>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</si>
  <si>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</si>
  <si>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</si>
  <si>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</si>
  <si>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</si>
  <si>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</si>
  <si>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</si>
  <si>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</si>
  <si>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</si>
  <si>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</si>
  <si>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</si>
  <si>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</si>
  <si>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</si>
  <si>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</si>
  <si>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</si>
  <si>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</si>
  <si>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</si>
  <si>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</si>
  <si>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</si>
  <si>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</si>
  <si>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</si>
  <si>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</si>
  <si>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</si>
  <si>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</si>
  <si>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</si>
  <si>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</si>
  <si>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</si>
  <si>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</si>
  <si>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</si>
  <si>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</si>
  <si>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</si>
  <si>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</si>
  <si>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</si>
  <si>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</si>
  <si>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</si>
  <si>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</si>
  <si>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</si>
  <si>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</si>
  <si>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</si>
  <si>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</si>
  <si>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</si>
  <si>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</si>
  <si>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</si>
  <si>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</si>
  <si>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</si>
  <si>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</si>
  <si>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</si>
  <si>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</si>
  <si>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</si>
  <si>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</si>
  <si>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</si>
  <si>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</si>
  <si>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</si>
  <si>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</si>
  <si>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</si>
  <si>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</si>
  <si>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</si>
  <si>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</si>
  <si>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</si>
  <si>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</si>
  <si>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</si>
  <si>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</si>
  <si>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</si>
  <si>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</si>
  <si>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</si>
  <si>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</si>
  <si>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</si>
  <si>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</si>
  <si>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</si>
  <si>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</si>
  <si>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</si>
  <si>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</si>
  <si>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</si>
  <si>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</si>
  <si>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</si>
  <si>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</si>
  <si>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</si>
  <si>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</si>
  <si>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</si>
  <si>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</si>
  <si>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</si>
  <si>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</si>
  <si>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</si>
  <si>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</si>
  <si>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</si>
  <si>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</si>
  <si>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</si>
  <si>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</si>
  <si>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</si>
  <si>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</si>
  <si>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</si>
  <si>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</si>
  <si>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</si>
  <si>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</si>
  <si>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</si>
  <si>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</si>
  <si>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</si>
  <si>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</si>
  <si>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</si>
  <si>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</si>
  <si>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</si>
  <si>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</si>
  <si>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</si>
  <si>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</si>
  <si>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</si>
  <si>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</si>
  <si>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</si>
  <si>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</si>
  <si>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</si>
  <si>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</si>
  <si>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</si>
  <si>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</si>
  <si>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</si>
  <si>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</si>
  <si>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</si>
  <si>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</si>
  <si>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</si>
  <si>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</si>
  <si>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</si>
  <si>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</si>
  <si>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</si>
  <si>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</si>
  <si>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</si>
  <si>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</si>
  <si>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</si>
  <si>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</si>
  <si>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</si>
  <si>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</si>
  <si>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</si>
  <si>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</si>
  <si>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</si>
  <si>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</si>
  <si>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</si>
  <si>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</si>
  <si>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</si>
  <si>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</si>
  <si>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</si>
  <si>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</si>
  <si>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</si>
  <si>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</si>
  <si>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</si>
  <si>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</si>
  <si>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</si>
  <si>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</si>
  <si>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</si>
  <si>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</si>
  <si>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</si>
  <si>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</si>
  <si>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</si>
  <si>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</si>
  <si>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</si>
  <si>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</si>
  <si>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</si>
  <si>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</si>
  <si>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</si>
  <si>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</si>
  <si>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</si>
  <si>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</si>
  <si>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</si>
  <si>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</si>
  <si>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</si>
  <si>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</si>
  <si>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</si>
  <si>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</si>
  <si>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</si>
  <si>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</si>
  <si>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</si>
  <si>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</si>
  <si>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</si>
  <si>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</si>
  <si>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</si>
  <si>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</si>
  <si>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</si>
  <si>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</si>
  <si>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</si>
  <si>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</si>
  <si>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</si>
  <si>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</si>
  <si>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</si>
  <si>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</si>
  <si>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</si>
  <si>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</si>
  <si>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</si>
  <si>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</si>
  <si>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</si>
  <si>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</si>
  <si>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</si>
  <si>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</si>
  <si>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</si>
  <si>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</si>
  <si>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</si>
  <si>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</si>
  <si>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</si>
  <si>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</si>
  <si>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</si>
  <si>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</si>
  <si>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</si>
  <si>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</si>
  <si>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</si>
  <si>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</si>
  <si>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</si>
  <si>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</si>
  <si>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</si>
  <si>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</si>
  <si>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</si>
  <si>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</si>
  <si>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</si>
  <si>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</si>
  <si>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</si>
  <si>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</si>
  <si>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</si>
  <si>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</si>
  <si>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</si>
  <si>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</si>
  <si>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</si>
  <si>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</si>
  <si>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</si>
  <si>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</si>
  <si>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</si>
  <si>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</si>
  <si>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</si>
  <si>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</si>
  <si>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</si>
  <si>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</si>
  <si>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</si>
  <si>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</si>
  <si>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</si>
  <si>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</si>
  <si>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</si>
  <si>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</si>
  <si>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</si>
  <si>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</si>
  <si>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</si>
  <si>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</si>
  <si>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</si>
  <si>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</si>
  <si>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</si>
  <si>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</si>
  <si>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</si>
  <si>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</si>
  <si>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</si>
  <si>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</si>
  <si>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</si>
  <si>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</si>
  <si>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</si>
  <si>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</si>
  <si>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</si>
  <si>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</si>
  <si>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</si>
  <si>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</si>
  <si>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</si>
  <si>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</si>
  <si>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</si>
  <si>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</si>
  <si>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</si>
  <si>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</si>
  <si>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</si>
  <si>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</si>
  <si>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</si>
  <si>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</si>
  <si>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</si>
  <si>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</si>
  <si>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</si>
  <si>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</si>
  <si>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</si>
  <si>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</si>
  <si>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</si>
  <si>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</si>
  <si>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</si>
  <si>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</si>
  <si>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</si>
  <si>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</si>
  <si>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</si>
  <si>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</si>
  <si>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</si>
  <si>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</si>
  <si>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</si>
  <si>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</si>
  <si>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</si>
  <si>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</si>
  <si>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</si>
  <si>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</si>
  <si>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</si>
  <si>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</si>
  <si>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</si>
  <si>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</si>
  <si>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</si>
  <si>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</si>
  <si>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</si>
  <si>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</si>
  <si>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</si>
  <si>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</si>
  <si>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</si>
  <si>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</si>
  <si>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</si>
  <si>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</si>
  <si>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</si>
  <si>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</si>
  <si>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</si>
  <si>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</si>
  <si>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</si>
  <si>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</si>
  <si>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</si>
  <si>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</si>
  <si>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</si>
  <si>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</si>
  <si>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</si>
  <si>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</si>
  <si>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</si>
  <si>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</si>
  <si>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</si>
  <si>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</si>
  <si>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</si>
  <si>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</si>
  <si>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</si>
  <si>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</si>
  <si>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</si>
  <si>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</si>
  <si>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</si>
  <si>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</si>
  <si>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</si>
  <si>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</si>
  <si>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</si>
  <si>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</si>
  <si>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</si>
  <si>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</si>
  <si>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</si>
  <si>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</si>
  <si>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</si>
  <si>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</si>
  <si>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</si>
  <si>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</si>
  <si>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</si>
  <si>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</si>
  <si>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</si>
  <si>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</si>
  <si>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</si>
  <si>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</si>
  <si>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</si>
  <si>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</si>
  <si>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</si>
  <si>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</si>
  <si>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</si>
  <si>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</si>
  <si>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</si>
  <si>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</si>
  <si>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</si>
  <si>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</si>
  <si>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</si>
  <si>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</si>
  <si>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</si>
  <si>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</si>
  <si>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</si>
  <si>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</si>
  <si>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</si>
  <si>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</si>
  <si>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</si>
  <si>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</si>
  <si>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</si>
  <si>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</si>
  <si>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</si>
  <si>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</si>
  <si>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</si>
  <si>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</si>
  <si>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</si>
  <si>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</si>
  <si>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</si>
  <si>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</si>
  <si>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</si>
  <si>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</si>
  <si>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</si>
  <si>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</si>
  <si>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</si>
  <si>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</si>
  <si>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</si>
  <si>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</si>
  <si>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</si>
  <si>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</si>
  <si>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</si>
  <si>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</si>
  <si>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</si>
  <si>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</si>
  <si>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</si>
  <si>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</si>
  <si>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</si>
  <si>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</si>
  <si>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</si>
  <si>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</si>
  <si>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</si>
  <si>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</si>
  <si>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</si>
  <si>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</si>
  <si>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</si>
  <si>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</si>
  <si>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</si>
  <si>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</si>
  <si>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</si>
  <si>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</si>
  <si>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</si>
  <si>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</si>
  <si>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</si>
  <si>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</si>
  <si>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</si>
  <si>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</si>
  <si>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</si>
  <si>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</si>
  <si>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</si>
  <si>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</si>
  <si>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</si>
  <si>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</si>
  <si>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</si>
  <si>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</si>
  <si>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</si>
  <si>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</si>
  <si>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</si>
  <si>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</si>
  <si>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</si>
  <si>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</si>
  <si>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</si>
  <si>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</si>
  <si>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</si>
  <si>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</si>
  <si>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</si>
  <si>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</si>
  <si>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</si>
  <si>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</si>
  <si>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</si>
  <si>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</si>
  <si>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</si>
  <si>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</si>
  <si>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</si>
  <si>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</si>
  <si>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</si>
  <si>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</si>
  <si>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</si>
  <si>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</si>
  <si>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</si>
  <si>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</si>
  <si>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</si>
  <si>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</si>
  <si>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</si>
  <si>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</si>
  <si>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</si>
  <si>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</si>
  <si>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</si>
  <si>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</si>
  <si>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</si>
  <si>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</si>
  <si>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</si>
  <si>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</si>
  <si>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</si>
  <si>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</si>
  <si>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</si>
  <si>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</si>
  <si>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</si>
  <si>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</si>
  <si>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</si>
  <si>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</si>
  <si>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</si>
  <si>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</si>
  <si>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</si>
  <si>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</si>
  <si>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</si>
  <si>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</si>
  <si>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</si>
  <si>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</si>
  <si>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</si>
  <si>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</si>
  <si>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</si>
  <si>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</si>
  <si>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</si>
  <si>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</si>
  <si>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</si>
  <si>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</si>
  <si>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</si>
  <si>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</si>
  <si>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</si>
  <si>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</si>
  <si>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</si>
  <si>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</si>
  <si>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</si>
  <si>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</si>
  <si>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</si>
  <si>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</si>
  <si>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</si>
  <si>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</si>
  <si>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</si>
  <si>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</si>
  <si>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</si>
  <si>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</si>
  <si>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</si>
  <si>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</si>
  <si>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</si>
  <si>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</si>
  <si>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</si>
  <si>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</si>
  <si>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</si>
  <si>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</si>
  <si>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</si>
  <si>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</si>
  <si>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</si>
  <si>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</si>
  <si>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</si>
  <si>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</si>
  <si>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</si>
  <si>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</si>
  <si>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</si>
  <si>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</si>
  <si>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</si>
  <si>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</si>
  <si>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</si>
  <si>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</si>
  <si>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</si>
  <si>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</si>
  <si>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</si>
  <si>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</si>
  <si>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</si>
  <si>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</si>
  <si>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</si>
  <si>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</si>
  <si>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</si>
  <si>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</si>
  <si>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</si>
  <si>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</si>
  <si>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</si>
  <si>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</si>
  <si>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</si>
  <si>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</si>
  <si>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</si>
  <si>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</si>
  <si>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</si>
  <si>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</si>
  <si>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</si>
  <si>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</si>
  <si>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</si>
  <si>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</si>
  <si>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</si>
  <si>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</si>
  <si>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</si>
  <si>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</si>
  <si>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</si>
  <si>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</si>
  <si>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</si>
  <si>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</si>
  <si>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</si>
  <si>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</si>
  <si>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</si>
  <si>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</si>
  <si>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</si>
  <si>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</si>
  <si>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</si>
  <si>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</si>
  <si>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</si>
  <si>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</si>
  <si>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</si>
  <si>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</si>
  <si>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</si>
  <si>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</si>
  <si>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</si>
  <si>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</si>
  <si>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</si>
  <si>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</si>
  <si>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</si>
  <si>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</si>
  <si>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</si>
  <si>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</si>
  <si>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</si>
  <si>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</si>
  <si>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</si>
  <si>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</si>
  <si>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</si>
  <si>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</si>
  <si>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</si>
  <si>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</si>
  <si>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</si>
  <si>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</si>
  <si>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</si>
  <si>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</si>
  <si>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</si>
  <si>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</si>
  <si>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</si>
  <si>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</si>
  <si>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</si>
  <si>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</si>
  <si>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</si>
  <si>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</si>
  <si>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</si>
  <si>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</si>
  <si>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</si>
  <si>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</si>
  <si>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</si>
  <si>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</si>
  <si>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</si>
  <si>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</si>
  <si>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</si>
  <si>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</si>
  <si>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</si>
  <si>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</si>
  <si>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</si>
  <si>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</si>
  <si>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</si>
  <si>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</si>
  <si>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</si>
  <si>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</si>
  <si>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</si>
  <si>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</si>
  <si>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</si>
  <si>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</si>
  <si>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</si>
  <si>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</si>
  <si>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</si>
  <si>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</si>
  <si>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</si>
  <si>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</si>
  <si>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</si>
  <si>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</si>
  <si>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</si>
  <si>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</si>
  <si>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</si>
  <si>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</si>
  <si>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</si>
  <si>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</si>
  <si>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</si>
  <si>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</si>
  <si>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</si>
  <si>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</si>
  <si>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</si>
  <si>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</si>
  <si>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</si>
  <si>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</si>
  <si>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</si>
  <si>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</si>
  <si>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</si>
  <si>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</si>
  <si>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</si>
  <si>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</si>
  <si>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</si>
  <si>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</si>
  <si>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</si>
  <si>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</si>
  <si>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</si>
  <si>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</si>
  <si>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</si>
  <si>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</si>
  <si>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</si>
  <si>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</si>
  <si>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</si>
  <si>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</si>
  <si>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</si>
  <si>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</si>
  <si>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</si>
  <si>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</si>
  <si>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</si>
  <si>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</si>
  <si>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</si>
  <si>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</si>
  <si>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</si>
  <si>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</si>
  <si>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</si>
  <si>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</si>
  <si>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</si>
  <si>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</si>
  <si>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</si>
  <si>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</si>
  <si>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</si>
  <si>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</si>
  <si>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</si>
  <si>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</si>
  <si>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</si>
  <si>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</si>
  <si>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</si>
  <si>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</si>
  <si>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</si>
  <si>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</si>
  <si>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</si>
  <si>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</si>
  <si>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</si>
  <si>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</si>
  <si>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</si>
  <si>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</si>
  <si>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</si>
  <si>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</si>
  <si>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</si>
  <si>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</si>
  <si>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</si>
  <si>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</si>
  <si>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</si>
  <si>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</si>
  <si>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</si>
  <si>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</si>
  <si>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</si>
  <si>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</si>
  <si>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</si>
  <si>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</si>
  <si>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</si>
  <si>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</si>
  <si>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</si>
  <si>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</si>
  <si>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</si>
  <si>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</si>
  <si>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</si>
  <si>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</si>
  <si>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</si>
  <si>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</si>
  <si>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</si>
  <si>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</si>
  <si>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</si>
  <si>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</si>
  <si>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</si>
  <si>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</si>
  <si>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</si>
  <si>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</si>
  <si>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</si>
  <si>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</si>
  <si>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</si>
  <si>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</si>
  <si>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</si>
  <si>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</si>
  <si>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</si>
  <si>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</si>
  <si>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</si>
  <si>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</si>
  <si>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</si>
  <si>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</si>
  <si>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</si>
  <si>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</si>
  <si>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</si>
  <si>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</si>
  <si>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</si>
  <si>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</si>
  <si>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</si>
  <si>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</si>
  <si>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</si>
  <si>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</si>
  <si>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</si>
  <si>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</si>
  <si>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</si>
  <si>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</si>
  <si>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</si>
  <si>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</si>
  <si>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</si>
  <si>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</si>
  <si>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</si>
  <si>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</si>
  <si>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</si>
  <si>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</si>
  <si>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</si>
  <si>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</si>
  <si>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</si>
  <si>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</si>
  <si>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</si>
  <si>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</si>
  <si>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</si>
  <si>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</si>
  <si>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</si>
  <si>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</si>
  <si>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</si>
  <si>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</si>
  <si>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</si>
  <si>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</si>
  <si>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</si>
  <si>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</si>
  <si>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</si>
  <si>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</si>
  <si>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</si>
  <si>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</si>
  <si>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</si>
  <si>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</si>
  <si>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</si>
  <si>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</si>
  <si>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</si>
  <si>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</si>
  <si>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</si>
  <si>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</si>
  <si>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</si>
  <si>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</si>
  <si>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</si>
  <si>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</si>
  <si>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</si>
  <si>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</si>
  <si>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</si>
  <si>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</si>
  <si>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</si>
  <si>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</si>
  <si>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</si>
  <si>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</si>
  <si>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</si>
  <si>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</si>
  <si>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</si>
  <si>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</si>
  <si>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</si>
  <si>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</si>
  <si>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</si>
  <si>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</si>
  <si>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</si>
  <si>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</si>
  <si>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</si>
  <si>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</si>
  <si>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</si>
  <si>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</si>
  <si>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</si>
  <si>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</si>
  <si>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</si>
  <si>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</si>
  <si>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</si>
  <si>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</si>
  <si>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</si>
  <si>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</si>
  <si>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</si>
  <si>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</si>
  <si>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</si>
  <si>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</si>
  <si>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</si>
  <si>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</si>
  <si>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</si>
  <si>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</si>
  <si>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</si>
  <si>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</si>
  <si>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</si>
  <si>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</si>
  <si>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</si>
  <si>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</si>
  <si>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</si>
  <si>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</si>
  <si>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</si>
  <si>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</si>
  <si>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</si>
  <si>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</si>
  <si>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</si>
  <si>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</si>
  <si>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</si>
  <si>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</si>
  <si>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</si>
  <si>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</si>
  <si>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</si>
  <si>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</si>
  <si>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</si>
  <si>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</si>
  <si>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</si>
  <si>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</si>
  <si>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</si>
  <si>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</si>
  <si>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</si>
  <si>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</si>
  <si>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</si>
  <si>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</si>
  <si>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</si>
  <si>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</si>
  <si>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</si>
  <si>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</si>
  <si>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</si>
  <si>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</si>
  <si>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</si>
  <si>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</si>
  <si>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</si>
  <si>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</si>
  <si>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</si>
  <si>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</si>
  <si>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</si>
  <si>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</si>
  <si>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</si>
  <si>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</si>
  <si>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</si>
  <si>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</si>
  <si>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</si>
  <si>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</si>
  <si>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</si>
  <si>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</si>
  <si>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</si>
  <si>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</si>
  <si>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</si>
  <si>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</si>
  <si>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</si>
  <si>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</si>
  <si>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</si>
  <si>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</si>
  <si>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</si>
  <si>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</si>
  <si>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</si>
  <si>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</si>
  <si>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</si>
  <si>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</si>
  <si>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</si>
  <si>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</si>
  <si>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</si>
  <si>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</si>
  <si>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</si>
  <si>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</si>
  <si>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</si>
  <si>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</si>
  <si>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</si>
  <si>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</si>
  <si>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</si>
  <si>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</si>
  <si>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</si>
  <si>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</si>
  <si>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</si>
  <si>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</si>
  <si>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</si>
  <si>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</si>
  <si>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</si>
  <si>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</si>
  <si>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</si>
  <si>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</si>
  <si>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</si>
  <si>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</si>
  <si>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</si>
  <si>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</si>
  <si>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</si>
  <si>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</si>
  <si>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</si>
  <si>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</si>
  <si>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</si>
  <si>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</si>
  <si>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</si>
  <si>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</si>
  <si>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</si>
  <si>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</si>
  <si>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</si>
  <si>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</si>
  <si>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</si>
  <si>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</si>
  <si>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</si>
  <si>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</si>
  <si>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</si>
  <si>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</si>
  <si>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</si>
  <si>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</si>
  <si>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</si>
  <si>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</si>
  <si>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</si>
  <si>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</si>
  <si>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</si>
  <si>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</si>
  <si>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</si>
  <si>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</si>
  <si>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</si>
  <si>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</si>
  <si>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</si>
  <si>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</si>
  <si>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</si>
  <si>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</si>
  <si>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</si>
  <si>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</si>
  <si>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</si>
  <si>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</si>
  <si>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</si>
  <si>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</si>
  <si>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</si>
  <si>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</si>
  <si>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</si>
  <si>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</si>
  <si>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</si>
  <si>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</si>
  <si>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</si>
  <si>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</si>
  <si>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</si>
  <si>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</si>
  <si>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</si>
  <si>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</si>
  <si>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</si>
  <si>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</si>
  <si>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</si>
  <si>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</si>
  <si>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</si>
  <si>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</si>
  <si>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</si>
  <si>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</si>
  <si>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</si>
  <si>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</si>
  <si>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</si>
  <si>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</si>
  <si>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</si>
  <si>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</si>
  <si>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</si>
  <si>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</si>
  <si>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</si>
  <si>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</si>
  <si>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</si>
  <si>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</si>
  <si>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</si>
  <si>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</si>
  <si>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</si>
  <si>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</si>
  <si>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</si>
  <si>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</si>
  <si>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</si>
  <si>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</si>
  <si>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</si>
  <si>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</si>
  <si>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</si>
  <si>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</si>
  <si>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</si>
  <si>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</si>
  <si>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</si>
  <si>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</si>
  <si>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</si>
  <si>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</si>
  <si>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</si>
  <si>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</si>
  <si>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</si>
  <si>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</si>
  <si>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</si>
  <si>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</si>
  <si>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</si>
  <si>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</si>
  <si>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</si>
  <si>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</si>
  <si>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</si>
  <si>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</si>
  <si>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</si>
  <si>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</si>
  <si>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</si>
  <si>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</si>
  <si>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</si>
  <si>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</si>
  <si>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</si>
  <si>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</si>
  <si>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</si>
  <si>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</si>
  <si>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</si>
  <si>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</si>
  <si>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</si>
  <si>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</si>
  <si>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</si>
  <si>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</si>
  <si>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</si>
  <si>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</si>
  <si>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</si>
  <si>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</si>
  <si>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</si>
  <si>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</si>
  <si>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</si>
  <si>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</si>
  <si>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</si>
  <si>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</si>
  <si>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</si>
  <si>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</si>
  <si>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</si>
  <si>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</si>
  <si>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</si>
  <si>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</si>
  <si>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</si>
  <si>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</si>
  <si>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</si>
  <si>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</si>
  <si>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</si>
  <si>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</si>
  <si>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</si>
  <si>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</si>
  <si>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</si>
  <si>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</si>
  <si>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</si>
  <si>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</si>
  <si>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</si>
  <si>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</si>
  <si>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</si>
  <si>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</si>
  <si>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</si>
  <si>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</si>
  <si>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</si>
  <si>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</si>
  <si>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</si>
  <si>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</si>
  <si>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</si>
  <si>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</si>
  <si>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</si>
  <si>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</si>
  <si>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</si>
  <si>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</si>
  <si>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</si>
  <si>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</si>
  <si>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</si>
  <si>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</si>
  <si>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</si>
  <si>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</si>
  <si>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</si>
  <si>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</si>
  <si>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</si>
  <si>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</si>
  <si>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</si>
  <si>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</si>
  <si>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</si>
  <si>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</si>
  <si>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</si>
  <si>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</si>
  <si>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</si>
  <si>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</si>
  <si>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</si>
  <si>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</si>
  <si>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</si>
  <si>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</si>
  <si>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</si>
  <si>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</si>
  <si>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</si>
  <si>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</si>
  <si>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</si>
  <si>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</si>
  <si>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</si>
  <si>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</si>
  <si>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</si>
  <si>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</si>
  <si>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</si>
  <si>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</si>
  <si>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</si>
  <si>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</si>
  <si>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</si>
  <si>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</si>
  <si>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</si>
  <si>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</si>
  <si>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</si>
  <si>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</si>
  <si>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</si>
  <si>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</si>
  <si>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</si>
  <si>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</si>
  <si>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</si>
  <si>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</si>
  <si>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</si>
  <si>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</si>
  <si>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</si>
  <si>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</si>
  <si>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</si>
  <si>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</si>
  <si>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</si>
  <si>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</si>
  <si>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</si>
  <si>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</si>
  <si>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</si>
  <si>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</si>
  <si>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</si>
  <si>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</si>
  <si>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</si>
  <si>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</si>
  <si>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</si>
  <si>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</si>
  <si>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</si>
  <si>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</si>
  <si>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</si>
  <si>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</si>
  <si>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</si>
  <si>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</si>
  <si>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</si>
  <si>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</si>
  <si>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</si>
  <si>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</si>
  <si>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</si>
  <si>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</si>
  <si>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</si>
  <si>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</si>
  <si>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</si>
  <si>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</si>
  <si>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</si>
  <si>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</si>
  <si>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</si>
  <si>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</si>
  <si>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</si>
  <si>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</si>
  <si>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</si>
  <si>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</si>
  <si>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</si>
  <si>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</si>
  <si>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</si>
  <si>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</si>
  <si>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</si>
  <si>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</si>
  <si>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</si>
  <si>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</si>
  <si>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</si>
  <si>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</si>
  <si>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</si>
  <si>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</si>
  <si>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</si>
  <si>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</si>
  <si>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</si>
  <si>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</si>
  <si>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</si>
  <si>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</si>
  <si>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</si>
  <si>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</si>
  <si>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</si>
  <si>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</si>
  <si>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</si>
  <si>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</si>
  <si>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</si>
  <si>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</si>
  <si>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</si>
  <si>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</si>
  <si>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</si>
  <si>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</si>
  <si>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</si>
  <si>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</si>
  <si>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</si>
  <si>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</si>
  <si>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</si>
  <si>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</si>
  <si>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</si>
  <si>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</si>
  <si>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</si>
  <si>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</si>
  <si>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</si>
  <si>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</si>
  <si>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</si>
  <si>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</si>
  <si>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</si>
  <si>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</si>
  <si>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</si>
  <si>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</si>
  <si>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</si>
  <si>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</si>
  <si>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</si>
  <si>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</si>
  <si>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</si>
  <si>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</si>
  <si>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</si>
  <si>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</si>
  <si>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</si>
  <si>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</si>
  <si>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</si>
  <si>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</si>
  <si>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</si>
  <si>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</si>
  <si>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</si>
  <si>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</si>
  <si>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</si>
  <si>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</si>
  <si>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</si>
  <si>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</si>
  <si>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</si>
  <si>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</si>
  <si>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</si>
  <si>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</si>
  <si>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</si>
  <si>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</si>
  <si>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</si>
  <si>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</si>
  <si>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</si>
  <si>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</si>
  <si>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</si>
  <si>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</si>
  <si>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</si>
  <si>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</si>
  <si>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</si>
  <si>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</si>
  <si>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</si>
  <si>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</si>
  <si>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</si>
  <si>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</si>
  <si>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</si>
  <si>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</si>
  <si>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</si>
  <si>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</si>
  <si>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</si>
  <si>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</si>
  <si>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</si>
  <si>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</si>
  <si>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</si>
  <si>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</si>
  <si>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</si>
  <si>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</si>
  <si>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</si>
  <si>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</si>
  <si>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</si>
  <si>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</si>
  <si>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</si>
  <si>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</si>
  <si>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</si>
  <si>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</si>
  <si>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</si>
  <si>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</si>
  <si>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</si>
  <si>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</si>
  <si>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</si>
  <si>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</si>
  <si>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</si>
  <si>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</si>
  <si>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</si>
  <si>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</si>
  <si>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</si>
  <si>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</si>
  <si>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</si>
  <si>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</si>
  <si>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</si>
  <si>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</si>
  <si>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</si>
  <si>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</si>
  <si>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</si>
  <si>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</si>
  <si>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</si>
  <si>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</si>
  <si>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</si>
  <si>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</si>
  <si>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</si>
  <si>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</si>
  <si>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</si>
  <si>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</si>
  <si>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</si>
  <si>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</si>
  <si>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</si>
  <si>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</si>
  <si>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</si>
  <si>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</si>
  <si>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</si>
  <si>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</si>
  <si>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</si>
  <si>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</si>
  <si>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</si>
  <si>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</si>
  <si>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</si>
  <si>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</si>
  <si>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</si>
  <si>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</si>
  <si>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</si>
  <si>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</si>
  <si>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</si>
  <si>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</si>
  <si>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</si>
  <si>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</si>
  <si>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</si>
  <si>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</si>
  <si>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</si>
  <si>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</si>
  <si>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</si>
  <si>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</si>
  <si>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</si>
  <si>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</si>
  <si>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</si>
  <si>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</si>
  <si>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</si>
  <si>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</si>
  <si>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</si>
  <si>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</si>
  <si>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</si>
  <si>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</si>
  <si>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</si>
  <si>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</si>
  <si>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</si>
  <si>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</si>
  <si>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</si>
  <si>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</si>
  <si>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</si>
  <si>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</si>
  <si>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</si>
  <si>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</si>
  <si>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</si>
  <si>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</si>
  <si>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</si>
  <si>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</si>
  <si>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</si>
  <si>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</si>
  <si>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</si>
  <si>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</si>
  <si>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</si>
  <si>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</si>
  <si>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</si>
  <si>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</si>
  <si>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</si>
  <si>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</si>
  <si>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</si>
  <si>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</si>
  <si>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</si>
  <si>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</si>
  <si>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</si>
  <si>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</si>
  <si>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</si>
  <si>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</si>
  <si>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</si>
  <si>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</si>
  <si>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</si>
  <si>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</si>
  <si>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</si>
  <si>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</si>
  <si>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</si>
  <si>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</si>
  <si>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</si>
  <si>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</si>
  <si>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</si>
  <si>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</si>
  <si>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</si>
  <si>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</si>
  <si>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</si>
  <si>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</si>
  <si>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</si>
  <si>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</si>
  <si>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</si>
  <si>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</si>
  <si>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</si>
  <si>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</si>
  <si>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</si>
  <si>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</si>
  <si>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</si>
  <si>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</si>
  <si>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</si>
  <si>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</si>
  <si>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</si>
  <si>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</si>
  <si>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</si>
  <si>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</si>
  <si>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</si>
  <si>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</si>
  <si>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</si>
  <si>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</si>
  <si>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</si>
  <si>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</si>
  <si>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</si>
  <si>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</si>
  <si>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</si>
  <si>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</si>
  <si>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</si>
  <si>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</si>
  <si>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</si>
  <si>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</si>
  <si>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</si>
  <si>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</si>
  <si>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</si>
  <si>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</si>
  <si>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</si>
  <si>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</si>
  <si>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</si>
  <si>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</si>
  <si>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</si>
  <si>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</si>
  <si>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</si>
  <si>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</si>
  <si>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</si>
  <si>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</si>
  <si>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</si>
  <si>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</si>
  <si>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</si>
  <si>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</si>
  <si>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</si>
  <si>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</si>
  <si>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</si>
  <si>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</si>
  <si>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</si>
  <si>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</si>
  <si>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</si>
  <si>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</si>
  <si>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</si>
  <si>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</si>
  <si>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</si>
  <si>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</si>
  <si>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</si>
  <si>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</si>
  <si>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</si>
  <si>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</si>
  <si>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</si>
  <si>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</si>
  <si>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</si>
  <si>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</si>
  <si>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</si>
  <si>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</si>
  <si>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</si>
  <si>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</si>
  <si>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</si>
  <si>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</si>
  <si>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</si>
  <si>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</si>
  <si>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</si>
  <si>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</si>
  <si>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</si>
  <si>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</si>
  <si>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</si>
  <si>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</si>
  <si>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</si>
  <si>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</si>
  <si>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</si>
  <si>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</si>
  <si>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</si>
  <si>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</si>
  <si>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</si>
  <si>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</si>
  <si>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</si>
  <si>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</si>
  <si>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</si>
  <si>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</si>
  <si>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</si>
  <si>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</si>
  <si>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</si>
  <si>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</si>
  <si>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</si>
  <si>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</si>
  <si>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</si>
  <si>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</si>
  <si>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</si>
  <si>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</si>
  <si>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</si>
  <si>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</si>
  <si>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</si>
  <si>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</si>
  <si>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</si>
  <si>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</si>
  <si>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</si>
  <si>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</si>
  <si>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</si>
  <si>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</si>
  <si>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</si>
  <si>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</si>
  <si>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</si>
  <si>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</si>
  <si>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</si>
  <si>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</si>
  <si>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</si>
  <si>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</si>
  <si>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</si>
  <si>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</si>
  <si>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</si>
  <si>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</si>
  <si>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</si>
  <si>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</si>
  <si>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</si>
  <si>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</si>
  <si>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</si>
  <si>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</si>
  <si>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</si>
  <si>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</si>
  <si>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</si>
  <si>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</si>
  <si>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</si>
  <si>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</si>
  <si>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</si>
  <si>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</si>
  <si>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</si>
  <si>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</si>
  <si>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</si>
  <si>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</si>
  <si>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</si>
  <si>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</si>
  <si>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</si>
  <si>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</si>
  <si>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</si>
  <si>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</si>
  <si>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</si>
  <si>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</si>
  <si>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</si>
  <si>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</si>
  <si>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</si>
  <si>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</si>
  <si>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</si>
  <si>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</si>
  <si>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</si>
  <si>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</si>
  <si>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</si>
  <si>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</si>
  <si>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</si>
  <si>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</si>
  <si>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</si>
  <si>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</si>
  <si>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</si>
  <si>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</si>
  <si>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</si>
  <si>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</si>
  <si>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</si>
  <si>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</si>
  <si>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</si>
  <si>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</si>
  <si>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</si>
  <si>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</si>
  <si>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</si>
  <si>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</si>
  <si>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</si>
  <si>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</si>
  <si>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</si>
  <si>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</si>
  <si>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</si>
  <si>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</si>
  <si>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</si>
  <si>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</si>
  <si>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</si>
  <si>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</si>
  <si>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</si>
  <si>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</si>
  <si>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</si>
  <si>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</si>
  <si>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</si>
  <si>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</si>
  <si>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</si>
  <si>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</si>
  <si>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</si>
  <si>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</si>
  <si>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</si>
  <si>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</si>
  <si>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</si>
  <si>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</si>
  <si>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</si>
  <si>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</si>
  <si>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</si>
  <si>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</si>
  <si>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</si>
  <si>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</si>
  <si>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</si>
  <si>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</si>
  <si>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</si>
  <si>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</si>
  <si>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</si>
  <si>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</si>
  <si>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</si>
  <si>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</si>
  <si>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</si>
  <si>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</si>
  <si>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</si>
  <si>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</si>
  <si>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</si>
  <si>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</si>
  <si>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</si>
  <si>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</si>
  <si>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</si>
  <si>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</si>
  <si>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</si>
  <si>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</si>
  <si>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</si>
  <si>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</si>
  <si>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</si>
  <si>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</si>
  <si>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</si>
  <si>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</si>
  <si>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</si>
  <si>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</si>
  <si>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</si>
  <si>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</si>
  <si>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</si>
  <si>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</si>
  <si>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</si>
  <si>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</si>
  <si>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</si>
  <si>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</si>
  <si>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</si>
  <si>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</si>
  <si>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</si>
  <si>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</si>
  <si>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</si>
  <si>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</si>
  <si>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</si>
  <si>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</si>
  <si>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</si>
  <si>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</si>
  <si>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</si>
  <si>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</si>
  <si>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</si>
  <si>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</si>
  <si>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</si>
  <si>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</si>
  <si>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</si>
  <si>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</si>
  <si>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</si>
  <si>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</si>
  <si>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</si>
  <si>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</si>
  <si>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</si>
  <si>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</si>
  <si>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</si>
  <si>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</si>
  <si>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</si>
  <si>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</si>
  <si>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</si>
  <si>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</si>
  <si>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</si>
  <si>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</si>
  <si>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</si>
  <si>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</si>
  <si>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</si>
  <si>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</si>
  <si>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</si>
  <si>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</si>
  <si>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</si>
  <si>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</si>
  <si>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</si>
  <si>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</si>
  <si>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</si>
  <si>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</si>
  <si>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</si>
  <si>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</si>
  <si>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</si>
  <si>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</si>
  <si>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</si>
  <si>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</si>
  <si>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</si>
  <si>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</si>
  <si>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</si>
  <si>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</si>
  <si>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</si>
  <si>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</si>
  <si>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</si>
  <si>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</si>
  <si>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</si>
  <si>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</si>
  <si>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</si>
  <si>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</si>
  <si>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</si>
  <si>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</si>
  <si>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</si>
  <si>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</si>
  <si>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</si>
  <si>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</si>
  <si>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</si>
  <si>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</si>
  <si>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</si>
  <si>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</si>
  <si>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</si>
  <si>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</si>
  <si>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</si>
  <si>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</si>
  <si>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</si>
  <si>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</si>
  <si>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</si>
  <si>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</si>
  <si>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</si>
  <si>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</si>
  <si>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</si>
  <si>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</si>
  <si>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</si>
  <si>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</si>
  <si>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</si>
  <si>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</si>
  <si>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</si>
  <si>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</si>
  <si>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</si>
  <si>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</si>
  <si>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</si>
  <si>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</si>
  <si>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</si>
  <si>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</si>
  <si>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</si>
  <si>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</si>
  <si>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</si>
  <si>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</si>
  <si>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</si>
  <si>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</si>
  <si>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</si>
  <si>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</si>
  <si>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</si>
  <si>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</si>
  <si>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</si>
  <si>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</si>
  <si>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</si>
  <si>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</si>
  <si>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</si>
  <si>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</si>
  <si>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</si>
  <si>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</si>
  <si>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</si>
  <si>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</si>
  <si>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</si>
  <si>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</si>
  <si>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</si>
  <si>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</si>
  <si>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</si>
  <si>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</si>
  <si>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</si>
  <si>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</si>
  <si>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</si>
  <si>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</si>
  <si>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</si>
  <si>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</si>
  <si>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</si>
  <si>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</si>
  <si>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</si>
  <si>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</si>
  <si>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</si>
  <si>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</si>
  <si>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</si>
  <si>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</si>
  <si>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</si>
  <si>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</si>
  <si>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</si>
  <si>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</si>
  <si>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</si>
  <si>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</si>
  <si>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</si>
  <si>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</si>
  <si>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</si>
  <si>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</si>
  <si>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</si>
  <si>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</si>
  <si>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</si>
  <si>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</si>
  <si>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</si>
  <si>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</si>
  <si>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</si>
  <si>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</si>
  <si>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</si>
  <si>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</si>
  <si>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</si>
  <si>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</si>
  <si>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</si>
  <si>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</si>
  <si>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</si>
  <si>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</si>
  <si>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</si>
  <si>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</si>
  <si>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</si>
  <si>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</si>
  <si>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</si>
  <si>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</si>
  <si>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</si>
  <si>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</si>
  <si>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</si>
  <si>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</si>
  <si>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</si>
  <si>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</si>
  <si>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</si>
  <si>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</si>
  <si>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</si>
  <si>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</si>
  <si>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</si>
  <si>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</si>
  <si>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</si>
  <si>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</si>
  <si>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</si>
  <si>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</si>
  <si>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</si>
  <si>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</si>
  <si>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</si>
  <si>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</si>
  <si>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</si>
  <si>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</si>
  <si>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</si>
  <si>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</si>
  <si>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</si>
  <si>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</si>
  <si>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</si>
  <si>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</si>
  <si>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</si>
  <si>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</si>
  <si>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</si>
  <si>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</si>
  <si>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</si>
  <si>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</si>
  <si>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</si>
  <si>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</si>
  <si>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</si>
  <si>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</si>
  <si>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</si>
  <si>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</si>
  <si>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</si>
  <si>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</si>
  <si>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</si>
  <si>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</si>
  <si>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</si>
  <si>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</si>
  <si>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</si>
  <si>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</si>
  <si>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</si>
  <si>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</si>
  <si>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</si>
  <si>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</si>
  <si>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</si>
  <si>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</si>
  <si>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</si>
  <si>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</si>
  <si>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</si>
  <si>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</si>
  <si>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</si>
  <si>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</si>
  <si>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</si>
  <si>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</si>
  <si>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</si>
  <si>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</si>
  <si>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</si>
  <si>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</si>
  <si>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</si>
  <si>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</si>
  <si>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</si>
  <si>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</si>
  <si>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</si>
  <si>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</si>
  <si>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</si>
  <si>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</si>
  <si>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</si>
  <si>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</si>
  <si>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</si>
  <si>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</si>
  <si>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</si>
  <si>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</si>
  <si>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</si>
  <si>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</si>
  <si>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</si>
  <si>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</si>
  <si>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</si>
  <si>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</si>
  <si>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</si>
  <si>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</si>
  <si>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</si>
  <si>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</si>
  <si>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</si>
  <si>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</si>
  <si>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</si>
  <si>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</si>
  <si>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</si>
  <si>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</si>
  <si>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</si>
  <si>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</si>
  <si>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</si>
  <si>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</si>
  <si>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</si>
  <si>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</si>
  <si>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</si>
  <si>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</si>
  <si>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</si>
  <si>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</si>
  <si>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</si>
  <si>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</si>
  <si>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</si>
  <si>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</si>
  <si>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</si>
  <si>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</si>
  <si>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</si>
  <si>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</si>
  <si>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</si>
  <si>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</si>
  <si>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</si>
  <si>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</si>
  <si>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</si>
  <si>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</si>
  <si>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</si>
  <si>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</si>
  <si>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</si>
  <si>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</si>
  <si>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</si>
  <si>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</si>
  <si>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</si>
  <si>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</si>
  <si>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</si>
  <si>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</si>
  <si>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</si>
  <si>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</si>
  <si>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</si>
  <si>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</si>
  <si>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</si>
  <si>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</si>
  <si>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</si>
  <si>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</si>
  <si>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</si>
  <si>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</si>
  <si>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</si>
  <si>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</si>
  <si>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</si>
  <si>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</si>
  <si>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</si>
  <si>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</si>
  <si>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</si>
  <si>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</si>
  <si>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</si>
  <si>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</si>
  <si>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</si>
  <si>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</si>
  <si>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</si>
  <si>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</si>
  <si>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</si>
  <si>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</si>
  <si>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</si>
  <si>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</si>
  <si>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</si>
  <si>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</si>
  <si>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</si>
  <si>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</si>
  <si>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</si>
  <si>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</si>
  <si>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</si>
  <si>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</si>
  <si>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</si>
  <si>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</si>
  <si>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</si>
  <si>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</si>
  <si>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</si>
  <si>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</si>
  <si>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</si>
  <si>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</si>
  <si>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</si>
  <si>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</si>
  <si>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</si>
  <si>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</si>
  <si>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</si>
  <si>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</si>
  <si>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</si>
  <si>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</si>
  <si>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</si>
  <si>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</si>
  <si>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</si>
  <si>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</si>
  <si>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</si>
  <si>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</si>
  <si>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</si>
  <si>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</si>
  <si>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</si>
  <si>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</si>
  <si>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</si>
  <si>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</si>
  <si>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</si>
  <si>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</si>
  <si>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</si>
  <si>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</si>
  <si>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</si>
  <si>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</si>
  <si>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</si>
  <si>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</si>
  <si>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</si>
  <si>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</si>
  <si>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</si>
  <si>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</si>
  <si>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</si>
  <si>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</si>
  <si>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</si>
  <si>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</si>
  <si>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</si>
  <si>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</si>
  <si>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</si>
  <si>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</si>
  <si>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</si>
  <si>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</si>
  <si>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</si>
  <si>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</si>
  <si>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</si>
  <si>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</si>
  <si>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</si>
  <si>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</si>
  <si>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</si>
  <si>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</si>
  <si>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</si>
  <si>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</si>
  <si>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</si>
  <si>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</si>
  <si>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</si>
  <si>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</si>
  <si>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</si>
  <si>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</si>
  <si>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</si>
  <si>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</si>
  <si>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</si>
  <si>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</si>
  <si>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</si>
  <si>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</si>
  <si>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</si>
  <si>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</si>
  <si>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</si>
  <si>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</si>
  <si>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</si>
  <si>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</si>
  <si>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</si>
  <si>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</si>
  <si>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</si>
  <si>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</si>
  <si>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</si>
  <si>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</si>
  <si>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</si>
  <si>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</si>
  <si>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</si>
  <si>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</si>
  <si>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</si>
  <si>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</si>
  <si>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</si>
  <si>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</si>
  <si>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</si>
  <si>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</si>
  <si>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</si>
  <si>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</si>
  <si>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</si>
  <si>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</si>
  <si>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</si>
  <si>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</si>
  <si>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</si>
  <si>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</si>
  <si>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</si>
  <si>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</si>
  <si>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</si>
  <si>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</si>
  <si>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</si>
  <si>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</si>
  <si>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</si>
  <si>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</si>
  <si>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</si>
  <si>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</si>
  <si>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</si>
  <si>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</si>
  <si>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</si>
  <si>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</si>
  <si>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</si>
  <si>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</si>
  <si>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</si>
  <si>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</si>
  <si>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</si>
  <si>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</si>
  <si>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</si>
  <si>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</si>
  <si>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</si>
  <si>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</si>
  <si>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</si>
  <si>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</si>
  <si>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</si>
  <si>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</si>
  <si>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</si>
  <si>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</si>
  <si>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</si>
  <si>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</si>
  <si>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</si>
  <si>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</si>
  <si>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</si>
  <si>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</si>
  <si>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</si>
  <si>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</si>
  <si>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</si>
  <si>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</si>
  <si>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</si>
  <si>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</si>
  <si>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</si>
  <si>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</si>
  <si>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</si>
  <si>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</si>
  <si>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</si>
  <si>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</si>
  <si>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</si>
  <si>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</si>
  <si>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</si>
  <si>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</si>
  <si>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</si>
  <si>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</si>
  <si>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</si>
  <si>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</si>
  <si>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</si>
  <si>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</si>
  <si>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</si>
  <si>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</si>
  <si>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</si>
  <si>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</si>
  <si>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</si>
  <si>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</si>
  <si>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</si>
  <si>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</si>
  <si>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</si>
  <si>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</si>
  <si>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</si>
  <si>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</si>
  <si>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</si>
  <si>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</si>
  <si>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</si>
  <si>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</si>
  <si>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</si>
  <si>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</si>
  <si>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</si>
  <si>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</si>
  <si>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</si>
  <si>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</si>
  <si>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</si>
  <si>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</si>
  <si>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</si>
  <si>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</si>
  <si>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</si>
  <si>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</si>
  <si>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</si>
  <si>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</si>
  <si>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</si>
  <si>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</si>
  <si>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</si>
  <si>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</si>
  <si>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</si>
  <si>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</si>
  <si>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</si>
  <si>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</si>
  <si>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</si>
  <si>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</si>
  <si>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</si>
  <si>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</si>
  <si>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</si>
  <si>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</si>
  <si>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</si>
  <si>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</si>
  <si>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</si>
  <si>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</si>
  <si>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</si>
  <si>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</si>
  <si>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</si>
  <si>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</si>
  <si>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</si>
  <si>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</si>
  <si>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</si>
  <si>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</si>
  <si>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</si>
  <si>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</si>
  <si>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</si>
  <si>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</si>
  <si>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</si>
  <si>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</si>
  <si>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</si>
  <si>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</si>
  <si>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</si>
  <si>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</si>
  <si>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</si>
  <si>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</si>
  <si>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</si>
  <si>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</si>
  <si>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</si>
  <si>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</si>
  <si>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</si>
  <si>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</si>
  <si>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</si>
  <si>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</si>
  <si>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</si>
  <si>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</si>
  <si>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</si>
  <si>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</si>
  <si>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</si>
  <si>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</si>
  <si>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</si>
  <si>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</si>
  <si>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</si>
  <si>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</si>
  <si>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</si>
  <si>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</si>
  <si>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</si>
  <si>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</si>
  <si>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</si>
  <si>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</si>
  <si>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</si>
  <si>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</si>
  <si>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</si>
  <si>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</si>
  <si>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</si>
  <si>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</si>
  <si>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</si>
  <si>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</si>
  <si>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</si>
  <si>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</si>
  <si>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</si>
  <si>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</si>
  <si>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</si>
  <si>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</si>
  <si>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</si>
  <si>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</si>
  <si>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</si>
  <si>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</si>
  <si>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</si>
  <si>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</si>
  <si>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</si>
  <si>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</si>
  <si>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</si>
  <si>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</si>
  <si>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</si>
  <si>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</si>
  <si>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</si>
  <si>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</si>
  <si>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</si>
  <si>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</si>
  <si>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</si>
  <si>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</si>
  <si>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</si>
  <si>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</si>
  <si>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</si>
  <si>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</si>
  <si>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</si>
  <si>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</si>
  <si>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</si>
  <si>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</si>
  <si>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</si>
  <si>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</si>
  <si>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</si>
  <si>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</si>
  <si>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</si>
  <si>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</si>
  <si>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</si>
  <si>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</si>
  <si>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</si>
  <si>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</si>
  <si>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</si>
  <si>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</si>
  <si>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</si>
  <si>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</si>
  <si>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</si>
  <si>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</si>
  <si>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</si>
  <si>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</si>
  <si>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</si>
  <si>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</si>
  <si>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</si>
  <si>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</si>
  <si>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</si>
  <si>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</si>
  <si>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</si>
  <si>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</si>
  <si>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</si>
  <si>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</si>
  <si>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</si>
  <si>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</si>
  <si>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</si>
  <si>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</si>
  <si>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</si>
  <si>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</si>
  <si>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</si>
  <si>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</si>
  <si>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</si>
  <si>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</si>
  <si>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</si>
  <si>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</si>
  <si>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</si>
  <si>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</si>
  <si>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</si>
  <si>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</si>
  <si>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</si>
  <si>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</si>
  <si>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</si>
  <si>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</si>
  <si>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</si>
  <si>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</si>
  <si>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</si>
  <si>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</si>
  <si>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</si>
  <si>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</si>
  <si>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</si>
  <si>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</si>
  <si>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</si>
  <si>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</si>
  <si>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</si>
  <si>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</si>
  <si>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</si>
  <si>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</si>
  <si>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</si>
  <si>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</si>
  <si>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</si>
  <si>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</si>
  <si>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</si>
  <si>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</si>
  <si>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</si>
  <si>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</si>
  <si>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</si>
  <si>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</si>
  <si>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</si>
  <si>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</si>
  <si>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</si>
  <si>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</si>
  <si>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</si>
  <si>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</si>
  <si>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</si>
  <si>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</si>
  <si>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</si>
  <si>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</si>
  <si>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</si>
  <si>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</si>
  <si>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</si>
  <si>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</si>
  <si>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</si>
  <si>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</si>
  <si>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</si>
  <si>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</si>
  <si>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</si>
  <si>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</si>
  <si>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</si>
  <si>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</si>
  <si>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</si>
  <si>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</si>
  <si>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</si>
  <si>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</si>
  <si>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</si>
  <si>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</si>
  <si>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</si>
  <si>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</si>
  <si>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</si>
  <si>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</si>
  <si>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</si>
  <si>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</si>
  <si>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</si>
  <si>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</si>
  <si>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</si>
  <si>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</si>
  <si>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</si>
  <si>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</si>
  <si>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</si>
  <si>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</si>
  <si>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</si>
  <si>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</si>
  <si>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</si>
  <si>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</si>
  <si>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</si>
  <si>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</si>
  <si>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</si>
  <si>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</si>
  <si>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</si>
  <si>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</si>
  <si>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</si>
  <si>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</si>
  <si>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</si>
  <si>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</si>
  <si>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</si>
  <si>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</si>
  <si>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</si>
  <si>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</si>
  <si>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</si>
  <si>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</si>
  <si>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</si>
  <si>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</si>
  <si>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</si>
  <si>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</si>
  <si>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</si>
  <si>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</si>
  <si>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</si>
  <si>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</si>
  <si>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</si>
  <si>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</si>
  <si>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</si>
  <si>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</si>
  <si>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</si>
  <si>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</si>
  <si>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</si>
  <si>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</si>
  <si>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</si>
  <si>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</si>
  <si>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</si>
  <si>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</si>
  <si>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</si>
  <si>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</si>
  <si>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</si>
  <si>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</si>
  <si>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</si>
  <si>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</si>
  <si>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</si>
  <si>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</si>
  <si>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</si>
  <si>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</si>
  <si>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</si>
  <si>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</si>
  <si>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</si>
  <si>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</si>
  <si>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</si>
  <si>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</si>
  <si>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</si>
  <si>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</si>
  <si>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</si>
  <si>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</si>
  <si>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</si>
  <si>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</si>
  <si>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</si>
  <si>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</si>
  <si>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</si>
  <si>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</si>
  <si>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</si>
  <si>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</si>
  <si>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</si>
  <si>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</si>
  <si>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</si>
  <si>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</si>
  <si>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</si>
  <si>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</si>
  <si>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</si>
  <si>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</si>
  <si>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</si>
  <si>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</si>
  <si>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</si>
  <si>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</si>
  <si>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</si>
  <si>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</si>
  <si>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</si>
  <si>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</si>
  <si>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</si>
  <si>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</si>
  <si>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</si>
  <si>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</si>
  <si>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</si>
  <si>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</si>
  <si>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</si>
  <si>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</si>
  <si>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</si>
  <si>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</si>
  <si>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</si>
  <si>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</si>
  <si>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</si>
  <si>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</si>
  <si>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</si>
  <si>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</si>
  <si>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</si>
  <si>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</si>
  <si>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</si>
  <si>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</si>
  <si>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</si>
  <si>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</si>
  <si>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</si>
  <si>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</si>
  <si>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</si>
  <si>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</si>
  <si>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</si>
  <si>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</si>
  <si>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</si>
  <si>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</si>
  <si>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</si>
  <si>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</si>
  <si>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</si>
  <si>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</si>
  <si>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</si>
  <si>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</si>
  <si>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</si>
  <si>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</si>
  <si>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</si>
  <si>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</si>
  <si>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</si>
  <si>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</si>
  <si>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</si>
  <si>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</si>
  <si>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</si>
  <si>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</si>
  <si>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</si>
  <si>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</si>
  <si>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</si>
  <si>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</si>
  <si>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</si>
  <si>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</si>
  <si>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</si>
  <si>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</si>
  <si>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</si>
  <si>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</si>
  <si>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</si>
  <si>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</si>
  <si>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</si>
  <si>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</si>
  <si>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</si>
  <si>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</si>
  <si>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</si>
  <si>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</si>
  <si>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</si>
  <si>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</si>
  <si>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</si>
  <si>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</si>
  <si>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</si>
  <si>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</si>
  <si>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</si>
  <si>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</si>
  <si>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</si>
  <si>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</si>
  <si>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</si>
  <si>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</si>
  <si>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</si>
  <si>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</si>
  <si>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</si>
  <si>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</si>
  <si>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</si>
  <si>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</si>
  <si>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</si>
  <si>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</si>
  <si>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</si>
  <si>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</si>
  <si>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</si>
  <si>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</si>
  <si>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</si>
  <si>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</si>
  <si>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</si>
  <si>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</si>
  <si>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</si>
  <si>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</si>
  <si>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</si>
  <si>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</si>
  <si>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</si>
  <si>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</si>
  <si>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</si>
  <si>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</si>
  <si>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</si>
  <si>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</si>
  <si>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</si>
  <si>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</si>
  <si>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</si>
  <si>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</si>
  <si>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</si>
  <si>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</si>
  <si>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</si>
  <si>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</si>
  <si>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</si>
  <si>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</si>
  <si>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</si>
  <si>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</si>
  <si>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</si>
  <si>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</si>
  <si>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</si>
  <si>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</si>
  <si>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</si>
  <si>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</si>
  <si>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</si>
  <si>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</si>
  <si>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</si>
  <si>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</si>
  <si>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</si>
  <si>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</si>
  <si>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</si>
  <si>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</si>
  <si>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</si>
  <si>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</si>
  <si>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</si>
  <si>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</si>
  <si>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</si>
  <si>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</si>
  <si>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</si>
  <si>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</si>
  <si>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</si>
  <si>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</si>
  <si>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</si>
  <si>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</si>
  <si>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</si>
  <si>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</si>
  <si>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</si>
  <si>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</si>
  <si>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</si>
  <si>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</si>
  <si>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</si>
  <si>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</si>
  <si>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</si>
  <si>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</si>
  <si>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</si>
  <si>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</si>
  <si>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</si>
  <si>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</si>
  <si>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</si>
  <si>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</si>
  <si>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</si>
  <si>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</si>
  <si>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</si>
  <si>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</si>
  <si>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</si>
  <si>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</si>
  <si>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</si>
  <si>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</si>
  <si>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</si>
  <si>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</si>
  <si>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</si>
  <si>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</si>
  <si>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</si>
  <si>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</si>
  <si>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</si>
  <si>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</si>
  <si>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</si>
  <si>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</si>
  <si>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</si>
  <si>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</si>
  <si>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</si>
  <si>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</si>
  <si>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</si>
  <si>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</si>
  <si>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</si>
  <si>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</si>
  <si>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</si>
  <si>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</si>
  <si>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</si>
  <si>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</si>
  <si>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</si>
  <si>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</si>
  <si>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</si>
  <si>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</si>
  <si>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</si>
  <si>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</si>
  <si>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</si>
  <si>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</si>
  <si>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</si>
  <si>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</si>
  <si>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</si>
  <si>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</si>
  <si>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</si>
  <si>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</si>
  <si>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</si>
  <si>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</si>
  <si>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</si>
  <si>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</si>
  <si>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</si>
  <si>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</si>
  <si>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</si>
  <si>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</si>
  <si>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</si>
  <si>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</si>
  <si>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</si>
  <si>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</si>
  <si>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</si>
  <si>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</si>
  <si>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</si>
  <si>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</si>
  <si>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</si>
  <si>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</si>
  <si>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</si>
  <si>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</si>
  <si>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</si>
  <si>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</si>
  <si>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</si>
  <si>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</si>
  <si>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</si>
  <si>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</si>
  <si>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</si>
  <si>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</si>
  <si>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</si>
  <si>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</si>
  <si>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</si>
  <si>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</si>
  <si>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</si>
  <si>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</si>
  <si>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</si>
  <si>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</si>
  <si>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</si>
  <si>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</si>
  <si>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</si>
  <si>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</si>
  <si>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</si>
  <si>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</si>
  <si>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</si>
  <si>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</si>
  <si>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</si>
  <si>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</si>
  <si>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</si>
  <si>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</si>
  <si>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</si>
  <si>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</si>
  <si>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</si>
  <si>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</si>
  <si>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</si>
  <si>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</si>
  <si>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</si>
  <si>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</si>
  <si>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</si>
  <si>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</si>
  <si>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</si>
  <si>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</si>
  <si>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</si>
  <si>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</si>
  <si>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</si>
  <si>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</si>
  <si>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</si>
  <si>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</si>
  <si>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</si>
  <si>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</si>
  <si>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</si>
  <si>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</si>
  <si>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</si>
  <si>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</si>
  <si>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</si>
  <si>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</si>
  <si>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</si>
  <si>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</si>
  <si>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</si>
  <si>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</si>
  <si>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</si>
  <si>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</si>
  <si>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</si>
  <si>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</si>
  <si>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</si>
  <si>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</si>
  <si>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</si>
  <si>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</si>
  <si>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</si>
  <si>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</si>
  <si>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</si>
  <si>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</si>
  <si>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</si>
  <si>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</si>
  <si>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</si>
  <si>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</si>
  <si>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</si>
  <si>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</si>
  <si>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</si>
  <si>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</si>
  <si>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</si>
  <si>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</si>
  <si>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</si>
  <si>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</si>
  <si>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</si>
  <si>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</si>
  <si>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</si>
  <si>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</si>
  <si>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</si>
  <si>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</si>
  <si>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</si>
  <si>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</si>
  <si>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</si>
  <si>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</si>
  <si>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</si>
  <si>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</si>
  <si>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</si>
  <si>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</si>
  <si>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</si>
  <si>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</si>
  <si>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</si>
  <si>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</si>
  <si>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</si>
  <si>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</si>
  <si>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</si>
  <si>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</si>
  <si>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</si>
  <si>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</si>
  <si>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</si>
  <si>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</si>
  <si>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</si>
  <si>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</si>
  <si>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</si>
  <si>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</si>
  <si>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</si>
  <si>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</si>
  <si>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</si>
  <si>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</si>
  <si>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</si>
  <si>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</si>
  <si>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</si>
  <si>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</si>
  <si>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</si>
  <si>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</si>
  <si>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</si>
  <si>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</si>
  <si>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</si>
  <si>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</si>
  <si>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</si>
  <si>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</si>
  <si>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</si>
  <si>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</si>
  <si>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</si>
  <si>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</si>
  <si>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</si>
  <si>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</si>
  <si>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</si>
  <si>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</si>
  <si>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</si>
  <si>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</si>
  <si>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</si>
  <si>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</si>
  <si>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</si>
  <si>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</si>
  <si>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</si>
  <si>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</si>
  <si>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</si>
  <si>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</si>
  <si>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</si>
  <si>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</si>
  <si>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</si>
  <si>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</si>
  <si>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</si>
  <si>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</si>
  <si>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</si>
  <si>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</si>
  <si>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</si>
  <si>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</si>
  <si>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</si>
  <si>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</si>
  <si>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</si>
  <si>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</si>
  <si>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</si>
  <si>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</si>
  <si>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</si>
  <si>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</si>
  <si>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</si>
  <si>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</si>
  <si>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</si>
  <si>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</si>
  <si>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</si>
  <si>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</si>
  <si>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</si>
  <si>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</si>
  <si>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</si>
  <si>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</si>
  <si>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</si>
  <si>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</si>
  <si>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</si>
  <si>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</si>
  <si>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</si>
  <si>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</si>
  <si>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</si>
  <si>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</si>
  <si>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</si>
  <si>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</si>
  <si>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</si>
  <si>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</si>
  <si>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</si>
  <si>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</si>
  <si>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</si>
  <si>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</si>
  <si>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</si>
  <si>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</si>
  <si>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</si>
  <si>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</si>
  <si>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</si>
  <si>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</si>
  <si>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</si>
  <si>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</si>
  <si>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</si>
  <si>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</si>
  <si>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</si>
  <si>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</si>
  <si>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</si>
  <si>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</si>
  <si>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</si>
  <si>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</si>
  <si>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</si>
  <si>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</si>
  <si>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</si>
  <si>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</si>
  <si>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</si>
  <si>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</si>
  <si>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</si>
  <si>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</si>
  <si>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</si>
  <si>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</si>
  <si>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</si>
  <si>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</si>
  <si>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</si>
  <si>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</si>
  <si>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</si>
  <si>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</si>
  <si>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</si>
  <si>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</si>
  <si>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</si>
  <si>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</si>
  <si>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</si>
  <si>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</si>
  <si>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</si>
  <si>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</si>
  <si>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</si>
  <si>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</si>
  <si>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</si>
  <si>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</si>
  <si>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</si>
  <si>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</si>
  <si>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</si>
  <si>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</si>
  <si>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</si>
  <si>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</si>
  <si>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</si>
  <si>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</si>
  <si>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</si>
  <si>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</si>
  <si>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</si>
  <si>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</si>
  <si>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</si>
  <si>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</si>
  <si>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</si>
  <si>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</si>
  <si>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</si>
  <si>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</si>
  <si>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</si>
  <si>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</si>
  <si>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</si>
  <si>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</si>
  <si>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</si>
  <si>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</si>
  <si>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</si>
  <si>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</si>
  <si>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</si>
  <si>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</si>
  <si>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</si>
  <si>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</si>
  <si>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</si>
  <si>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</si>
  <si>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</si>
  <si>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</si>
  <si>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</si>
  <si>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</si>
  <si>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</si>
  <si>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</si>
  <si>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</si>
  <si>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</si>
  <si>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</si>
  <si>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</si>
  <si>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</si>
  <si>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</si>
  <si>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</si>
  <si>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</si>
  <si>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</si>
  <si>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</si>
  <si>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</si>
  <si>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</si>
  <si>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</si>
  <si>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</si>
  <si>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</si>
  <si>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</si>
  <si>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</si>
  <si>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</si>
  <si>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</si>
  <si>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</si>
  <si>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</si>
  <si>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</si>
  <si>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</si>
  <si>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</si>
  <si>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</si>
  <si>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</si>
  <si>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</si>
  <si>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</si>
  <si>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</si>
  <si>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</si>
  <si>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</si>
  <si>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</si>
  <si>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</si>
  <si>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</si>
  <si>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</si>
  <si>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</si>
  <si>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</si>
  <si>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</si>
  <si>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</si>
  <si>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</si>
  <si>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</si>
  <si>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</si>
  <si>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</si>
  <si>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</si>
  <si>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</si>
  <si>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</si>
  <si>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</si>
  <si>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</si>
  <si>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</si>
  <si>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</si>
  <si>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</si>
  <si>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</si>
  <si>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</si>
  <si>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</si>
  <si>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</si>
  <si>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</si>
  <si>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</si>
  <si>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</si>
  <si>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</si>
  <si>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</si>
  <si>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</si>
  <si>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</si>
  <si>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</si>
  <si>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</si>
  <si>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</si>
  <si>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</si>
  <si>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</si>
  <si>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</si>
  <si>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</si>
  <si>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</si>
  <si>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</si>
  <si>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</si>
  <si>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</si>
  <si>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</si>
  <si>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</si>
  <si>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</si>
  <si>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</si>
  <si>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</si>
  <si>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</si>
  <si>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</si>
  <si>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</si>
  <si>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</si>
  <si>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</si>
  <si>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</si>
  <si>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</si>
  <si>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</si>
  <si>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</si>
  <si>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</si>
  <si>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</si>
  <si>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</si>
  <si>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</si>
  <si>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</si>
  <si>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</si>
  <si>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</si>
  <si>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</si>
  <si>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</si>
  <si>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</si>
  <si>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</si>
  <si>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</si>
  <si>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</si>
  <si>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</si>
  <si>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</si>
  <si>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</si>
  <si>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</si>
  <si>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</si>
  <si>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</si>
  <si>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</si>
  <si>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</si>
  <si>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</si>
  <si>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</si>
  <si>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</si>
  <si>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</si>
  <si>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</si>
  <si>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</si>
  <si>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</si>
  <si>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</si>
  <si>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</si>
  <si>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</si>
  <si>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</si>
  <si>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</si>
  <si>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</si>
  <si>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</si>
  <si>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</si>
  <si>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</si>
  <si>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</si>
  <si>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</si>
  <si>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</si>
  <si>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</si>
  <si>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</si>
  <si>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</si>
  <si>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</si>
  <si>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</si>
  <si>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</si>
  <si>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</si>
  <si>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</si>
  <si>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</si>
  <si>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</si>
  <si>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</si>
  <si>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</si>
  <si>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</si>
  <si>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</si>
  <si>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</si>
  <si>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</si>
  <si>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</si>
  <si>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</si>
  <si>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</si>
  <si>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</si>
  <si>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</si>
  <si>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</si>
  <si>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</si>
  <si>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</si>
  <si>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</si>
  <si>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</si>
  <si>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</si>
  <si>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</si>
  <si>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</si>
  <si>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</si>
  <si>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</si>
  <si>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</si>
  <si>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</si>
  <si>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</si>
  <si>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</si>
  <si>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</si>
  <si>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</si>
  <si>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</si>
  <si>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</si>
  <si>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</si>
  <si>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</si>
  <si>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</si>
  <si>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</si>
  <si>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</si>
  <si>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</si>
  <si>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</si>
  <si>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</si>
  <si>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</si>
  <si>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</si>
  <si>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</si>
  <si>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</si>
  <si>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</si>
  <si>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</si>
  <si>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</si>
  <si>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</si>
  <si>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</si>
  <si>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</si>
  <si>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</si>
  <si>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</si>
  <si>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</si>
  <si>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</si>
  <si>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</si>
  <si>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</si>
  <si>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</si>
  <si>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</si>
  <si>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</si>
  <si>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</si>
  <si>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</si>
  <si>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</si>
  <si>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</si>
  <si>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</si>
  <si>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</si>
  <si>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</si>
  <si>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</si>
  <si>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</si>
  <si>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</si>
  <si>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</si>
  <si>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</si>
  <si>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</si>
  <si>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</si>
  <si>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</si>
  <si>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</si>
  <si>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</si>
  <si>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</si>
  <si>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</si>
  <si>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</si>
  <si>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</si>
  <si>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</si>
  <si>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</si>
  <si>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</si>
  <si>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</si>
  <si>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</si>
  <si>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</si>
  <si>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</si>
  <si>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</si>
  <si>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</si>
  <si>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</si>
  <si>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</si>
  <si>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</si>
  <si>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</si>
  <si>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</si>
  <si>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</si>
  <si>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</si>
  <si>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</si>
  <si>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</si>
  <si>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</si>
  <si>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</si>
  <si>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</si>
  <si>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</si>
  <si>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</si>
  <si>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</si>
  <si>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</si>
  <si>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</si>
  <si>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</si>
  <si>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</si>
  <si>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</si>
  <si>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</si>
  <si>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</si>
  <si>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</si>
  <si>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</si>
  <si>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</si>
  <si>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</si>
  <si>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</si>
  <si>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</si>
  <si>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</si>
  <si>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</si>
  <si>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</si>
  <si>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</si>
  <si>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</si>
  <si>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</si>
  <si>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</si>
  <si>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</si>
  <si>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</si>
  <si>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</si>
  <si>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</si>
  <si>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</si>
  <si>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</si>
  <si>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</si>
  <si>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</si>
  <si>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</si>
  <si>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</si>
  <si>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</si>
  <si>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</si>
  <si>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</si>
  <si>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</si>
  <si>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</si>
  <si>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</si>
  <si>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</si>
  <si>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</si>
  <si>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</si>
  <si>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</si>
  <si>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</si>
  <si>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</si>
  <si>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</si>
  <si>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</si>
  <si>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</si>
  <si>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</si>
  <si>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</si>
  <si>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</si>
  <si>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</si>
  <si>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</si>
  <si>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</si>
  <si>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</si>
  <si>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</si>
  <si>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</si>
  <si>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</si>
  <si>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</si>
  <si>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</si>
  <si>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</si>
  <si>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</si>
  <si>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</si>
  <si>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</si>
  <si>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</si>
  <si>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</si>
  <si>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</si>
  <si>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</si>
  <si>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</si>
  <si>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</si>
  <si>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</si>
  <si>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</si>
  <si>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</si>
  <si>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</si>
  <si>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</si>
  <si>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</si>
  <si>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</si>
  <si>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</si>
  <si>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</si>
  <si>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</si>
  <si>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</si>
  <si>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</si>
  <si>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</si>
  <si>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</si>
  <si>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</si>
  <si>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</si>
  <si>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</si>
  <si>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</si>
  <si>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</si>
  <si>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</si>
  <si>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</si>
  <si>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</si>
  <si>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</si>
  <si>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</si>
  <si>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</si>
  <si>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</si>
  <si>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</si>
  <si>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</si>
  <si>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</si>
  <si>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</si>
  <si>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</si>
  <si>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</si>
  <si>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</si>
  <si>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</si>
  <si>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</si>
  <si>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</si>
  <si>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</si>
  <si>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</si>
  <si>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</si>
  <si>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</si>
  <si>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</si>
  <si>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</si>
  <si>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</si>
  <si>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</si>
  <si>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</si>
  <si>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</si>
  <si>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</si>
  <si>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</si>
  <si>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</si>
  <si>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</si>
  <si>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</si>
  <si>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</si>
  <si>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</si>
  <si>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</si>
  <si>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</si>
  <si>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</si>
  <si>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</si>
  <si>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</si>
  <si>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</si>
  <si>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</si>
  <si>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</si>
  <si>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</si>
  <si>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</si>
  <si>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</si>
  <si>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</si>
  <si>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</si>
  <si>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</si>
  <si>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</si>
  <si>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</si>
  <si>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</si>
  <si>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</si>
  <si>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</si>
  <si>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</si>
  <si>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</si>
  <si>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</si>
  <si>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</si>
  <si>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</si>
  <si>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</si>
  <si>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</si>
  <si>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</si>
  <si>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</si>
  <si>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</si>
  <si>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</si>
  <si>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</si>
  <si>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</si>
  <si>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2379 تا 209.6</t>
  </si>
  <si>
    <t>var content = jQuery('body').html();</t>
  </si>
  <si>
    <t>alert(content.match(/&lt;!--.*?--&gt;/g));</t>
  </si>
  <si>
    <t>29/3/1398</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</si>
  <si>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</si>
  <si>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</si>
  <si>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</si>
  <si>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</si>
  <si>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</si>
  <si>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</si>
  <si>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</si>
  <si>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</si>
  <si>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</si>
  <si>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</si>
  <si>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</si>
  <si>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</si>
  <si>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</si>
  <si>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</si>
  <si>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</si>
  <si>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</si>
  <si>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</si>
  <si>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</si>
  <si>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</si>
  <si>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</si>
  <si>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</si>
  <si>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</si>
  <si>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</si>
  <si>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</si>
  <si>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</si>
  <si>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</si>
  <si>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</si>
  <si>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</si>
  <si>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</si>
  <si>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</si>
  <si>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</si>
  <si>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</si>
  <si>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</si>
  <si>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</si>
  <si>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</si>
  <si>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</si>
  <si>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</si>
  <si>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</si>
  <si>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</si>
  <si>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</si>
  <si>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</si>
  <si>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</si>
  <si>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</si>
  <si>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</si>
  <si>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</si>
  <si>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</si>
  <si>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</si>
  <si>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</si>
  <si>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</si>
  <si>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</si>
  <si>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</si>
  <si>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</si>
  <si>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</si>
  <si>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</si>
  <si>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</si>
  <si>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</si>
  <si>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</si>
  <si>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</si>
  <si>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</si>
  <si>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</si>
  <si>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</si>
  <si>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</si>
  <si>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</si>
  <si>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</si>
  <si>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</si>
  <si>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</si>
  <si>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</si>
  <si>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</si>
  <si>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</si>
  <si>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</si>
  <si>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</si>
  <si>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</si>
  <si>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</si>
  <si>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</si>
  <si>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</si>
  <si>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</si>
  <si>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</si>
  <si>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</si>
  <si>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</si>
  <si>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</si>
  <si>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</si>
  <si>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</si>
  <si>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</si>
  <si>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</si>
  <si>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</si>
  <si>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</si>
  <si>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</si>
  <si>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</si>
  <si>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</si>
  <si>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</si>
  <si>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</si>
  <si>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</si>
  <si>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</si>
  <si>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</si>
  <si>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</si>
  <si>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</si>
  <si>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</si>
  <si>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</si>
  <si>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</si>
  <si>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</si>
  <si>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</si>
  <si>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</si>
  <si>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</si>
  <si>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</si>
  <si>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</si>
  <si>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</si>
  <si>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</si>
  <si>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</si>
  <si>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</si>
  <si>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</si>
  <si>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</si>
  <si>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</si>
  <si>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</si>
  <si>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</si>
  <si>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</si>
  <si>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</si>
  <si>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</si>
  <si>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</si>
  <si>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</si>
  <si>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</si>
  <si>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</si>
  <si>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</si>
  <si>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</si>
  <si>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</si>
  <si>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</si>
  <si>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</si>
  <si>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</si>
  <si>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</si>
  <si>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</si>
  <si>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</si>
  <si>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</si>
  <si>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</si>
  <si>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</si>
  <si>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</si>
  <si>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</si>
  <si>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</si>
  <si>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</si>
  <si>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</si>
  <si>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</si>
  <si>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</si>
  <si>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</si>
  <si>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</si>
  <si>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</si>
  <si>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</si>
  <si>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</si>
  <si>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</si>
  <si>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</si>
  <si>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</si>
  <si>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</si>
  <si>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</si>
  <si>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</si>
  <si>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</si>
  <si>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</si>
  <si>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</si>
  <si>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</si>
  <si>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</si>
  <si>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</si>
  <si>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</si>
  <si>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</si>
  <si>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</si>
  <si>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</si>
  <si>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</si>
  <si>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</si>
  <si>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</si>
  <si>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</si>
  <si>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</si>
  <si>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</si>
  <si>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</si>
  <si>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</si>
  <si>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</si>
  <si>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</si>
  <si>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</si>
  <si>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</si>
  <si>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</si>
  <si>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</si>
  <si>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</si>
  <si>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</si>
  <si>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</si>
  <si>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</si>
  <si>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</si>
  <si>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</si>
  <si>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</si>
  <si>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</si>
  <si>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</si>
  <si>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</si>
  <si>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</si>
  <si>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</si>
  <si>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</si>
  <si>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</si>
  <si>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</si>
  <si>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</si>
  <si>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</si>
  <si>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</si>
  <si>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</si>
  <si>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</si>
  <si>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</si>
  <si>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</si>
  <si>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</si>
  <si>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</si>
  <si>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</si>
  <si>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</si>
  <si>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</si>
  <si>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</si>
  <si>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</si>
  <si>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</si>
  <si>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</si>
  <si>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</si>
  <si>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</si>
  <si>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</si>
  <si>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</si>
  <si>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</si>
  <si>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</si>
  <si>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</si>
  <si>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</si>
  <si>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</si>
  <si>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</si>
  <si>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</si>
  <si>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</si>
  <si>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</si>
  <si>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</si>
  <si>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</si>
  <si>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</si>
  <si>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</si>
  <si>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</si>
  <si>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</si>
  <si>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</si>
  <si>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</si>
  <si>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</si>
  <si>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</si>
  <si>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</si>
  <si>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</si>
  <si>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</si>
  <si>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</si>
  <si>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</si>
  <si>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</si>
  <si>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</si>
  <si>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</si>
  <si>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</si>
  <si>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</si>
  <si>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</si>
  <si>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</si>
  <si>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</si>
  <si>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</si>
  <si>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</si>
  <si>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</si>
  <si>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</si>
  <si>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</si>
  <si>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</si>
  <si>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</si>
  <si>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</si>
  <si>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</si>
  <si>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</si>
  <si>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</si>
  <si>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</si>
  <si>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</si>
  <si>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</si>
  <si>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</si>
  <si>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</si>
  <si>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</si>
  <si>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</si>
  <si>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</si>
  <si>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</si>
  <si>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</si>
  <si>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</si>
  <si>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</si>
  <si>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</si>
  <si>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</si>
  <si>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</si>
  <si>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</si>
  <si>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</si>
  <si>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</si>
  <si>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</si>
  <si>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</si>
  <si>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</si>
  <si>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</si>
  <si>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</si>
  <si>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</si>
  <si>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</si>
  <si>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</si>
  <si>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</si>
  <si>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</si>
  <si>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</si>
  <si>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</si>
  <si>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</si>
  <si>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</si>
  <si>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</si>
  <si>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</si>
  <si>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</si>
  <si>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</si>
  <si>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</si>
  <si>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</si>
  <si>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</si>
  <si>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</si>
  <si>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</si>
  <si>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</si>
  <si>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</si>
  <si>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</si>
  <si>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</si>
  <si>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</si>
  <si>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</si>
  <si>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</si>
  <si>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</si>
  <si>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</si>
  <si>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</si>
  <si>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</si>
  <si>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</si>
  <si>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</si>
  <si>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</si>
  <si>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</si>
  <si>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</si>
  <si>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</si>
  <si>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</si>
  <si>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</si>
  <si>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</si>
  <si>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</si>
  <si>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</si>
  <si>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</si>
  <si>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</si>
  <si>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</si>
  <si>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</si>
  <si>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</si>
  <si>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</si>
  <si>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</si>
  <si>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</si>
  <si>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</si>
  <si>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</si>
  <si>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</si>
  <si>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</si>
  <si>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</si>
  <si>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</si>
  <si>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</si>
  <si>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</si>
  <si>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</si>
  <si>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</si>
  <si>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</si>
  <si>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</si>
  <si>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</si>
  <si>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</si>
  <si>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</si>
  <si>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</si>
  <si>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</si>
  <si>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</si>
  <si>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</si>
  <si>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</si>
  <si>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</si>
  <si>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</si>
  <si>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</si>
  <si>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</si>
  <si>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</si>
  <si>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</si>
  <si>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</si>
  <si>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</si>
  <si>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</si>
  <si>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</si>
  <si>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</si>
  <si>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</si>
  <si>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</si>
  <si>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</si>
  <si>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</si>
  <si>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</si>
  <si>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</si>
  <si>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</si>
  <si>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</si>
  <si>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</si>
  <si>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</si>
  <si>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</si>
  <si>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</si>
  <si>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</si>
  <si>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</si>
  <si>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</si>
  <si>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</si>
  <si>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</si>
  <si>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</si>
  <si>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</si>
  <si>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</si>
  <si>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</si>
  <si>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</si>
  <si>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</si>
  <si>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</si>
  <si>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</si>
  <si>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</si>
  <si>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</si>
  <si>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</si>
  <si>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</si>
  <si>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</si>
  <si>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</si>
  <si>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</si>
  <si>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</si>
  <si>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</si>
  <si>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</si>
  <si>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</si>
  <si>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</si>
  <si>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</si>
  <si>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</si>
  <si>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</si>
  <si>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</si>
  <si>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</si>
  <si>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</si>
  <si>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</si>
  <si>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</si>
  <si>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</si>
  <si>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</si>
  <si>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</si>
  <si>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</si>
  <si>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</si>
  <si>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</si>
  <si>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</si>
  <si>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</si>
  <si>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</si>
  <si>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</si>
  <si>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</si>
  <si>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</si>
  <si>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</si>
  <si>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</si>
  <si>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</si>
  <si>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</si>
  <si>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</si>
  <si>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</si>
  <si>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</si>
  <si>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</si>
  <si>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</si>
  <si>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</si>
  <si>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</si>
  <si>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</si>
  <si>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</si>
  <si>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</si>
  <si>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</si>
  <si>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</si>
  <si>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</si>
  <si>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</si>
  <si>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</si>
  <si>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</si>
  <si>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</si>
  <si>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</si>
  <si>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</si>
  <si>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</si>
  <si>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</si>
  <si>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</si>
  <si>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</si>
  <si>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</si>
  <si>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</si>
  <si>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</si>
  <si>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</si>
  <si>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</si>
  <si>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</si>
  <si>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</si>
  <si>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</si>
  <si>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</si>
  <si>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</si>
  <si>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</si>
  <si>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</si>
  <si>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</si>
  <si>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</si>
  <si>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</si>
  <si>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</si>
  <si>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</si>
  <si>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</si>
  <si>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</si>
  <si>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</si>
  <si>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</si>
  <si>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</si>
  <si>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</si>
  <si>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</si>
  <si>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</si>
  <si>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</si>
  <si>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</si>
  <si>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</si>
  <si>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</si>
  <si>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</si>
  <si>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</si>
  <si>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</si>
  <si>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</si>
  <si>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</si>
  <si>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</si>
  <si>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</si>
  <si>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</si>
  <si>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</si>
  <si>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</si>
  <si>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</si>
  <si>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</si>
  <si>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</si>
  <si>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</si>
  <si>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</si>
  <si>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</si>
  <si>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</si>
  <si>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</si>
  <si>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</si>
  <si>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</si>
  <si>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</si>
  <si>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</si>
  <si>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</si>
  <si>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</si>
  <si>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</si>
  <si>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</si>
  <si>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</si>
  <si>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</si>
  <si>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</si>
  <si>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</si>
  <si>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</si>
  <si>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</si>
  <si>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</si>
  <si>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</si>
  <si>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</si>
  <si>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</si>
  <si>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</si>
  <si>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</si>
  <si>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</si>
  <si>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</si>
  <si>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</si>
  <si>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</si>
  <si>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</si>
  <si>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</si>
  <si>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</si>
  <si>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</si>
  <si>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</si>
  <si>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</si>
  <si>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</si>
  <si>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</si>
  <si>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</si>
  <si>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</si>
  <si>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</si>
  <si>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</si>
  <si>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</si>
  <si>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</si>
  <si>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</si>
  <si>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</si>
  <si>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شستا</t>
  </si>
  <si>
    <t>بدهی به کاظم 27/1/99</t>
  </si>
  <si>
    <t>شستا 3471 تا 860</t>
  </si>
  <si>
    <t>شستا 3474 تا 860</t>
  </si>
  <si>
    <t>واریز 3 میلیون حساب مریم و 3.006 میلیون به حساب علی</t>
  </si>
  <si>
    <t>زاگرس 2042 تا 8377.8</t>
  </si>
  <si>
    <t>زاگرس 9992 تا 8337.3</t>
  </si>
  <si>
    <t>زاگرس 3493 تا 8338</t>
  </si>
  <si>
    <t>قیمت فروش فعلی</t>
  </si>
  <si>
    <t>زیان</t>
  </si>
  <si>
    <t>بدهی به حسین اکبریان 27/1/1399</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</si>
  <si>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</si>
  <si>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</si>
  <si>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</si>
  <si>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</si>
  <si>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</si>
  <si>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</si>
  <si>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</si>
  <si>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</si>
  <si>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</si>
  <si>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</si>
  <si>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</si>
  <si>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</si>
  <si>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</si>
  <si>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</si>
  <si>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</si>
  <si>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وغدیر 37166 تا 221</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</si>
  <si>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</si>
  <si>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</si>
  <si>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</si>
  <si>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</si>
  <si>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</si>
  <si>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</si>
  <si>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</si>
  <si>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</si>
  <si>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</si>
  <si>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</si>
  <si>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</si>
  <si>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</si>
  <si>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</si>
  <si>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طلب علی از صندوق 7/2/1399</t>
  </si>
  <si>
    <t>زاگرس 1813 تا 9713</t>
  </si>
  <si>
    <t>9/2/1399</t>
  </si>
  <si>
    <t>پارس 964 تا 9544.5</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</si>
  <si>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</si>
  <si>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</si>
  <si>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</si>
  <si>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</si>
  <si>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</si>
  <si>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</si>
  <si>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</si>
  <si>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</si>
  <si>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</si>
  <si>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</si>
  <si>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وغدیر 78865 تا 203.6</t>
  </si>
  <si>
    <t>13/2/1399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</si>
</sst>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164" fontId="0" fillId="0" borderId="0" xfId="0" applyNumberFormat="1" applyAlignment="1">
      <alignment horizontal="center" vertical="center"/>
    </xf>
    <xf numFmtId="0" fontId="0" fillId="0" borderId="0"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2"/>
  <sheetViews>
    <sheetView topLeftCell="A87" zoomScale="85" zoomScaleNormal="85" workbookViewId="0">
      <selection activeCell="N111" sqref="N111"/>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5017</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5021</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5027</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5053</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5066</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5075</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5466</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5467</v>
      </c>
    </row>
    <row r="65" spans="1:20">
      <c r="A65" s="161" t="s">
        <v>5117</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5469</v>
      </c>
    </row>
    <row r="67" spans="1:20">
      <c r="A67" s="161" t="s">
        <v>5133</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5468</v>
      </c>
      <c r="T67" s="96"/>
    </row>
    <row r="68" spans="1:20">
      <c r="A68" s="161" t="s">
        <v>5136</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5162</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5163</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5105</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5169</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5178</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5214</v>
      </c>
      <c r="B76" s="161" t="s">
        <v>4233</v>
      </c>
      <c r="C76" s="228">
        <v>3039</v>
      </c>
      <c r="D76" s="161">
        <v>5424</v>
      </c>
      <c r="E76" s="161" t="s">
        <v>4397</v>
      </c>
      <c r="F76" s="228">
        <v>8125</v>
      </c>
      <c r="G76" s="161">
        <v>2000</v>
      </c>
      <c r="H76" s="230">
        <f t="shared" si="6"/>
        <v>0.37403076923076922</v>
      </c>
      <c r="I76" s="230">
        <f t="shared" si="7"/>
        <v>2.6735768344850279</v>
      </c>
      <c r="J76" s="99"/>
      <c r="L76" s="96"/>
      <c r="M76" s="301">
        <f>49/875</f>
        <v>5.6000000000000001E-2</v>
      </c>
      <c r="N76" s="301">
        <f>1-M76</f>
        <v>0.94399999999999995</v>
      </c>
      <c r="P76" s="96"/>
      <c r="Q76" s="96"/>
      <c r="R76" s="96"/>
      <c r="S76" s="96"/>
      <c r="T76" s="96"/>
    </row>
    <row r="77" spans="1:20">
      <c r="A77" s="60" t="s">
        <v>5418</v>
      </c>
      <c r="B77" s="60" t="s">
        <v>4233</v>
      </c>
      <c r="C77" s="294">
        <v>5002</v>
      </c>
      <c r="D77" s="60">
        <v>14000</v>
      </c>
      <c r="E77" s="60" t="s">
        <v>5419</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5423</v>
      </c>
      <c r="B78" s="60" t="s">
        <v>4233</v>
      </c>
      <c r="C78" s="294">
        <v>5184</v>
      </c>
      <c r="D78" s="60">
        <v>17550</v>
      </c>
      <c r="E78" s="60" t="s">
        <v>5419</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5530</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5530</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5538</v>
      </c>
      <c r="B81" s="60" t="s">
        <v>5419</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5419</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5538</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5541</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5547</v>
      </c>
      <c r="B85" s="60" t="s">
        <v>4397</v>
      </c>
      <c r="C85" s="294">
        <v>1619.9</v>
      </c>
      <c r="D85" s="60">
        <v>1000</v>
      </c>
      <c r="E85" s="60" t="s">
        <v>5419</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5547</v>
      </c>
      <c r="B86" s="60" t="s">
        <v>4233</v>
      </c>
      <c r="C86" s="294">
        <v>620</v>
      </c>
      <c r="D86" s="60">
        <v>10908</v>
      </c>
      <c r="E86" s="60" t="s">
        <v>5419</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5547</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5548</v>
      </c>
      <c r="B88" s="60" t="s">
        <v>5419</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5548</v>
      </c>
      <c r="B89" s="60" t="s">
        <v>5419</v>
      </c>
      <c r="C89" s="294">
        <v>543</v>
      </c>
      <c r="D89" s="60">
        <v>3141</v>
      </c>
      <c r="E89" s="60" t="s">
        <v>5549</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5548</v>
      </c>
      <c r="B90" s="295" t="s">
        <v>4233</v>
      </c>
      <c r="C90" s="297">
        <f>642*N76</f>
        <v>606.048</v>
      </c>
      <c r="D90" s="295">
        <v>27000</v>
      </c>
      <c r="E90" s="292" t="s">
        <v>4383</v>
      </c>
      <c r="F90" s="293">
        <v>8367</v>
      </c>
      <c r="G90" s="295">
        <f t="shared" si="13"/>
        <v>1927.6822398251309</v>
      </c>
      <c r="H90" s="296">
        <f>C90/F90</f>
        <v>7.2433130154177128E-2</v>
      </c>
      <c r="I90" s="296">
        <f>F90/C90</f>
        <v>13.805837161412958</v>
      </c>
      <c r="J90" s="99"/>
      <c r="N90" s="96"/>
      <c r="O90" s="96"/>
      <c r="P90" s="96"/>
      <c r="Q90" s="96"/>
      <c r="R90" s="96"/>
      <c r="S90" s="96"/>
      <c r="T90" s="96"/>
    </row>
    <row r="91" spans="1:25">
      <c r="A91" s="121" t="s">
        <v>5552</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5552</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5552</v>
      </c>
      <c r="B93" s="295" t="s">
        <v>4233</v>
      </c>
      <c r="C93" s="297">
        <f>657.3*N76</f>
        <v>620.49119999999994</v>
      </c>
      <c r="D93" s="295">
        <v>128144</v>
      </c>
      <c r="E93" s="292" t="s">
        <v>4383</v>
      </c>
      <c r="F93" s="293">
        <v>8337.2999999999993</v>
      </c>
      <c r="G93" s="295">
        <f t="shared" si="14"/>
        <v>9400.325729578708</v>
      </c>
      <c r="H93" s="296">
        <f>C93/F93</f>
        <v>7.44235184052391E-2</v>
      </c>
      <c r="I93" s="296">
        <f>F93/C93</f>
        <v>13.436612799665813</v>
      </c>
      <c r="J93" s="99" t="s">
        <v>452</v>
      </c>
      <c r="N93" s="96"/>
      <c r="O93" s="96"/>
      <c r="P93" s="96"/>
      <c r="Q93" s="96"/>
      <c r="R93" s="99" t="s">
        <v>1083</v>
      </c>
      <c r="S93" s="99"/>
      <c r="T93" s="99"/>
      <c r="U93" s="99"/>
      <c r="V93" s="99"/>
      <c r="W93" s="99"/>
      <c r="X93" s="99"/>
      <c r="Y93" s="99"/>
    </row>
    <row r="94" spans="1:25">
      <c r="A94" s="121" t="s">
        <v>5552</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5524</v>
      </c>
      <c r="W94" s="69" t="s">
        <v>1232</v>
      </c>
      <c r="X94" s="69" t="s">
        <v>938</v>
      </c>
      <c r="Y94" s="69" t="s">
        <v>5562</v>
      </c>
    </row>
    <row r="95" spans="1:25">
      <c r="A95" s="295" t="s">
        <v>4863</v>
      </c>
      <c r="B95" s="295" t="s">
        <v>4233</v>
      </c>
      <c r="C95" s="297">
        <f>657.3*N76</f>
        <v>620.49119999999994</v>
      </c>
      <c r="D95" s="295">
        <v>15063</v>
      </c>
      <c r="E95" s="292" t="s">
        <v>4383</v>
      </c>
      <c r="F95" s="293">
        <v>8338</v>
      </c>
      <c r="G95" s="295">
        <f t="shared" si="17"/>
        <v>1104.8915202015</v>
      </c>
      <c r="H95" s="296">
        <f t="shared" si="18"/>
        <v>7.4417270328615961E-2</v>
      </c>
      <c r="I95" s="296">
        <f t="shared" si="19"/>
        <v>13.437740938147069</v>
      </c>
      <c r="J95" s="99" t="s">
        <v>749</v>
      </c>
      <c r="N95" s="96"/>
      <c r="O95" s="96"/>
      <c r="P95" s="96"/>
      <c r="Q95" s="96"/>
      <c r="R95" s="99"/>
      <c r="S95" s="99" t="s">
        <v>4383</v>
      </c>
      <c r="T95" s="99">
        <v>874</v>
      </c>
      <c r="U95" s="117">
        <v>6337102</v>
      </c>
      <c r="V95" s="117">
        <f>U95/T95</f>
        <v>7250.6887871853551</v>
      </c>
      <c r="W95" s="117">
        <f>V95*1.01</f>
        <v>7323.195675057209</v>
      </c>
      <c r="X95" s="99">
        <f>'برنامه 5 ساله'!P46</f>
        <v>12290.6</v>
      </c>
      <c r="Y95" s="117">
        <f>T95*X95</f>
        <v>10741984.4</v>
      </c>
    </row>
    <row r="96" spans="1:25">
      <c r="A96" s="295" t="s">
        <v>5566</v>
      </c>
      <c r="B96" s="295" t="s">
        <v>4233</v>
      </c>
      <c r="C96" s="297">
        <f>689.1*N76</f>
        <v>650.5104</v>
      </c>
      <c r="D96" s="295">
        <v>72223</v>
      </c>
      <c r="E96" s="292" t="s">
        <v>4383</v>
      </c>
      <c r="F96" s="293">
        <v>8740</v>
      </c>
      <c r="G96" s="295">
        <f t="shared" si="17"/>
        <v>5298.4978734199558</v>
      </c>
      <c r="H96" s="296">
        <f t="shared" si="18"/>
        <v>7.442910755148742E-2</v>
      </c>
      <c r="I96" s="296">
        <f t="shared" si="19"/>
        <v>13.435603796649524</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ساله'!P29</f>
        <v>1048.7</v>
      </c>
      <c r="Y96" s="117">
        <f t="shared" ref="Y96:Y97" si="22">T96*X96</f>
        <v>309366500</v>
      </c>
    </row>
    <row r="97" spans="1:27">
      <c r="A97" s="295" t="s">
        <v>5566</v>
      </c>
      <c r="B97" s="295" t="s">
        <v>4233</v>
      </c>
      <c r="C97" s="297">
        <f>689.1*N76</f>
        <v>650.5104</v>
      </c>
      <c r="D97" s="295">
        <v>76080</v>
      </c>
      <c r="E97" s="292" t="s">
        <v>4383</v>
      </c>
      <c r="F97" s="293">
        <v>8758.5</v>
      </c>
      <c r="G97" s="295">
        <f t="shared" si="17"/>
        <v>5569.6697205293094</v>
      </c>
      <c r="H97" s="296">
        <f t="shared" si="18"/>
        <v>7.4271895872580929E-2</v>
      </c>
      <c r="I97" s="296">
        <f t="shared" si="19"/>
        <v>13.464043003770577</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5566</v>
      </c>
      <c r="B98" s="295" t="s">
        <v>4233</v>
      </c>
      <c r="C98" s="297">
        <f>689.1*N76</f>
        <v>650.5104</v>
      </c>
      <c r="D98" s="295">
        <v>53420</v>
      </c>
      <c r="E98" s="62" t="s">
        <v>4379</v>
      </c>
      <c r="F98" s="51">
        <v>8280.2000000000007</v>
      </c>
      <c r="G98" s="295">
        <f t="shared" si="17"/>
        <v>4136.6781238317672</v>
      </c>
      <c r="H98" s="296">
        <f t="shared" si="18"/>
        <v>7.8562160334291434E-2</v>
      </c>
      <c r="I98" s="296">
        <f t="shared" si="19"/>
        <v>12.728774205608397</v>
      </c>
      <c r="J98" s="99" t="s">
        <v>452</v>
      </c>
      <c r="R98" s="99" t="s">
        <v>5523</v>
      </c>
      <c r="S98" s="99" t="s">
        <v>5419</v>
      </c>
      <c r="T98" s="99">
        <v>0</v>
      </c>
      <c r="U98" s="117">
        <v>683292</v>
      </c>
      <c r="V98" s="117"/>
      <c r="W98" s="117"/>
      <c r="X98" s="99">
        <f>'برنامه 5 ساله'!P47</f>
        <v>840</v>
      </c>
      <c r="Y98" s="117">
        <f>U98</f>
        <v>683292</v>
      </c>
    </row>
    <row r="99" spans="1:27">
      <c r="A99" s="295" t="s">
        <v>5566</v>
      </c>
      <c r="B99" s="295" t="s">
        <v>4233</v>
      </c>
      <c r="C99" s="297">
        <f>689.1*N76</f>
        <v>650.5104</v>
      </c>
      <c r="D99" s="295">
        <v>10732</v>
      </c>
      <c r="E99" s="298" t="s">
        <v>4521</v>
      </c>
      <c r="F99" s="49">
        <v>2696.3</v>
      </c>
      <c r="G99" s="295">
        <f t="shared" si="17"/>
        <v>2552.1202006930585</v>
      </c>
      <c r="H99" s="296">
        <f t="shared" si="18"/>
        <v>0.24126039387308532</v>
      </c>
      <c r="I99" s="296">
        <f t="shared" si="19"/>
        <v>4.1448991438107683</v>
      </c>
      <c r="J99" s="99" t="s">
        <v>452</v>
      </c>
      <c r="N99" t="s">
        <v>25</v>
      </c>
      <c r="R99" s="99" t="s">
        <v>5523</v>
      </c>
      <c r="S99" s="99" t="s">
        <v>4553</v>
      </c>
      <c r="T99" s="99">
        <v>0</v>
      </c>
      <c r="U99" s="117">
        <v>270969</v>
      </c>
      <c r="V99" s="117"/>
      <c r="W99" s="117"/>
      <c r="X99" s="99">
        <v>850</v>
      </c>
      <c r="Y99" s="117">
        <f>U99</f>
        <v>270969</v>
      </c>
      <c r="AA99" t="s">
        <v>25</v>
      </c>
    </row>
    <row r="100" spans="1:27">
      <c r="A100" s="295" t="s">
        <v>5571</v>
      </c>
      <c r="B100" s="295" t="s">
        <v>4233</v>
      </c>
      <c r="C100" s="297">
        <f>723.5*N76</f>
        <v>682.98399999999992</v>
      </c>
      <c r="D100" s="295">
        <v>5030</v>
      </c>
      <c r="E100" s="292" t="s">
        <v>4383</v>
      </c>
      <c r="F100" s="293">
        <v>8966.4</v>
      </c>
      <c r="G100" s="295">
        <f t="shared" ref="G100" si="23">C100*D100*0.99025/(F100*1.0046399)</f>
        <v>377.6546479714504</v>
      </c>
      <c r="H100" s="296">
        <f t="shared" ref="H100" si="24">C100/F100</f>
        <v>7.6171484653818691E-2</v>
      </c>
      <c r="I100" s="296">
        <f t="shared" ref="I100" si="25">F100/C100</f>
        <v>13.128272404624413</v>
      </c>
      <c r="J100" s="99" t="s">
        <v>749</v>
      </c>
      <c r="R100" s="99"/>
      <c r="S100" s="99"/>
      <c r="T100" s="99"/>
      <c r="U100" s="117"/>
      <c r="V100" s="117"/>
      <c r="W100" s="99"/>
      <c r="X100" s="99"/>
      <c r="Y100" s="99"/>
    </row>
    <row r="101" spans="1:27">
      <c r="A101" s="295" t="s">
        <v>5571</v>
      </c>
      <c r="B101" s="295" t="s">
        <v>4233</v>
      </c>
      <c r="C101" s="297">
        <f>723.5*N76</f>
        <v>682.98399999999992</v>
      </c>
      <c r="D101" s="295">
        <v>57955</v>
      </c>
      <c r="E101" s="62" t="s">
        <v>4379</v>
      </c>
      <c r="F101" s="51">
        <v>8537.2999999999993</v>
      </c>
      <c r="G101" s="295">
        <f t="shared" ref="G101:G112" si="26">C101*D101*0.99025/(F101*1.0046399)</f>
        <v>4569.9907996885258</v>
      </c>
      <c r="H101" s="296">
        <f t="shared" ref="H101:H104" si="27">C101/F101</f>
        <v>0.08</v>
      </c>
      <c r="I101" s="296">
        <f t="shared" ref="I101:I104" si="28">F101/C101</f>
        <v>12.5</v>
      </c>
      <c r="J101" s="99" t="s">
        <v>749</v>
      </c>
      <c r="M101" s="299">
        <f>H111/H109</f>
        <v>0.98750861855884675</v>
      </c>
      <c r="N101" s="96">
        <f t="shared" ref="N101" si="29">1/M101</f>
        <v>1.0126493897940687</v>
      </c>
      <c r="R101" s="99"/>
      <c r="S101" s="99"/>
      <c r="T101" s="99"/>
      <c r="U101" s="117"/>
      <c r="V101" s="117"/>
      <c r="W101" s="99"/>
      <c r="X101" s="99"/>
      <c r="Y101" s="99"/>
    </row>
    <row r="102" spans="1:27">
      <c r="A102" s="295" t="s">
        <v>5571</v>
      </c>
      <c r="B102" s="295" t="s">
        <v>4233</v>
      </c>
      <c r="C102" s="297">
        <f>723.5*N76</f>
        <v>682.98399999999992</v>
      </c>
      <c r="D102" s="295">
        <v>4758</v>
      </c>
      <c r="E102" s="298" t="s">
        <v>4521</v>
      </c>
      <c r="F102" s="49">
        <v>2830.4</v>
      </c>
      <c r="G102" s="295">
        <f t="shared" si="26"/>
        <v>1131.6746314121931</v>
      </c>
      <c r="H102" s="192">
        <f t="shared" si="27"/>
        <v>0.2413029960429621</v>
      </c>
      <c r="I102" s="296">
        <f t="shared" si="28"/>
        <v>4.1441673597038884</v>
      </c>
      <c r="J102" s="99" t="s">
        <v>749</v>
      </c>
      <c r="M102" s="300">
        <f>H110/H106</f>
        <v>1.0203615677633804</v>
      </c>
      <c r="N102">
        <f>1/M102</f>
        <v>0.98004475236360311</v>
      </c>
      <c r="R102" s="99"/>
      <c r="S102" s="99"/>
      <c r="T102" s="99"/>
      <c r="U102" s="117">
        <v>159900000</v>
      </c>
      <c r="V102" s="117"/>
      <c r="W102" s="99"/>
      <c r="X102" s="99"/>
      <c r="Y102" s="95">
        <f>SUM(Y95:Y99)</f>
        <v>325785195.39999998</v>
      </c>
    </row>
    <row r="103" spans="1:27">
      <c r="A103" s="295" t="s">
        <v>5571</v>
      </c>
      <c r="B103" s="295" t="s">
        <v>4233</v>
      </c>
      <c r="C103" s="297">
        <f>723.5*N76</f>
        <v>682.98399999999992</v>
      </c>
      <c r="D103" s="295">
        <v>112916</v>
      </c>
      <c r="E103" s="292" t="s">
        <v>4383</v>
      </c>
      <c r="F103" s="293">
        <v>9036.6</v>
      </c>
      <c r="G103" s="295">
        <f t="shared" si="26"/>
        <v>8411.9248565477883</v>
      </c>
      <c r="H103" s="296">
        <f t="shared" si="27"/>
        <v>7.5579753447092918E-2</v>
      </c>
      <c r="I103" s="296">
        <f t="shared" si="28"/>
        <v>13.23105665725698</v>
      </c>
      <c r="J103" s="99" t="s">
        <v>452</v>
      </c>
      <c r="M103" s="96"/>
      <c r="N103" s="96"/>
      <c r="R103" s="99"/>
      <c r="S103" s="99"/>
      <c r="T103" s="99"/>
      <c r="U103" s="117"/>
      <c r="V103" s="117"/>
      <c r="W103" s="99"/>
      <c r="X103" s="99"/>
      <c r="Y103" s="99"/>
    </row>
    <row r="104" spans="1:27">
      <c r="A104" s="295" t="s">
        <v>5571</v>
      </c>
      <c r="B104" s="295" t="s">
        <v>4233</v>
      </c>
      <c r="C104" s="297">
        <f>723.5*N76</f>
        <v>682.98399999999992</v>
      </c>
      <c r="D104" s="295">
        <v>23940</v>
      </c>
      <c r="E104" s="62" t="s">
        <v>4379</v>
      </c>
      <c r="F104" s="51">
        <v>8536.2000000000007</v>
      </c>
      <c r="G104" s="295">
        <f t="shared" si="26"/>
        <v>1888.0110097731092</v>
      </c>
      <c r="H104" s="296">
        <f t="shared" si="27"/>
        <v>8.0010309036807933E-2</v>
      </c>
      <c r="I104" s="296">
        <f t="shared" si="28"/>
        <v>12.498389420542797</v>
      </c>
      <c r="J104" s="99" t="s">
        <v>452</v>
      </c>
      <c r="R104" s="99"/>
      <c r="S104" s="99"/>
      <c r="T104" s="99"/>
      <c r="U104" s="99"/>
      <c r="V104" s="99"/>
      <c r="W104" s="99"/>
      <c r="X104" s="99"/>
      <c r="Y104" s="99"/>
    </row>
    <row r="105" spans="1:27">
      <c r="A105" s="295" t="s">
        <v>5576</v>
      </c>
      <c r="B105" s="295" t="s">
        <v>4233</v>
      </c>
      <c r="C105" s="297">
        <f>753.1*N76</f>
        <v>710.92639999999994</v>
      </c>
      <c r="D105" s="295">
        <v>31210</v>
      </c>
      <c r="E105" s="292" t="s">
        <v>4383</v>
      </c>
      <c r="F105" s="293">
        <v>8938</v>
      </c>
      <c r="G105" s="295">
        <f t="shared" si="26"/>
        <v>2446.8789725960669</v>
      </c>
      <c r="H105" s="296">
        <f t="shared" ref="H105:H112" si="30">C105/F105</f>
        <v>7.9539762810472134E-2</v>
      </c>
      <c r="I105" s="296">
        <f t="shared" ref="I105:I112" si="31">F105/C105</f>
        <v>12.572328162240144</v>
      </c>
      <c r="J105" s="99" t="s">
        <v>452</v>
      </c>
      <c r="R105" s="99"/>
      <c r="S105" s="99"/>
      <c r="T105" s="99"/>
      <c r="U105" s="99"/>
      <c r="V105" s="99"/>
      <c r="W105" s="99"/>
      <c r="X105" s="99"/>
      <c r="Y105" s="99"/>
    </row>
    <row r="106" spans="1:27">
      <c r="A106" s="295" t="s">
        <v>5576</v>
      </c>
      <c r="B106" s="295" t="s">
        <v>4233</v>
      </c>
      <c r="C106" s="297">
        <f>753.1*N76</f>
        <v>710.92639999999994</v>
      </c>
      <c r="D106" s="295">
        <v>94101</v>
      </c>
      <c r="E106" s="62" t="s">
        <v>4379</v>
      </c>
      <c r="F106" s="51">
        <v>8497.4</v>
      </c>
      <c r="G106" s="295">
        <f t="shared" ref="G106:G109" si="32">C106*D106*0.99025/(F106*1.0046399)</f>
        <v>7760.0987306690749</v>
      </c>
      <c r="H106" s="208">
        <f t="shared" ref="H106:H109" si="33">C106/F106</f>
        <v>8.3663991338527074E-2</v>
      </c>
      <c r="I106" s="296">
        <f t="shared" ref="I106:I109" si="34">F106/C106</f>
        <v>11.952573430948689</v>
      </c>
      <c r="J106" s="99" t="s">
        <v>452</v>
      </c>
    </row>
    <row r="107" spans="1:27">
      <c r="A107" s="295" t="s">
        <v>5576</v>
      </c>
      <c r="B107" s="295" t="s">
        <v>4233</v>
      </c>
      <c r="C107" s="297">
        <f>751.5*N76</f>
        <v>709.41599999999994</v>
      </c>
      <c r="D107" s="295">
        <v>61303</v>
      </c>
      <c r="E107" s="62" t="s">
        <v>4379</v>
      </c>
      <c r="F107" s="51">
        <v>8558.9</v>
      </c>
      <c r="G107" s="295">
        <f t="shared" si="32"/>
        <v>5008.4020404146831</v>
      </c>
      <c r="H107" s="296">
        <f t="shared" si="33"/>
        <v>8.2886352218158876E-2</v>
      </c>
      <c r="I107" s="296">
        <f t="shared" si="34"/>
        <v>12.064712383143318</v>
      </c>
      <c r="J107" s="99" t="s">
        <v>749</v>
      </c>
    </row>
    <row r="108" spans="1:27">
      <c r="A108" s="295" t="s">
        <v>5581</v>
      </c>
      <c r="B108" s="295" t="s">
        <v>4233</v>
      </c>
      <c r="C108" s="297">
        <f>785.6*N76</f>
        <v>741.60640000000001</v>
      </c>
      <c r="D108" s="295">
        <v>10000</v>
      </c>
      <c r="E108" s="292" t="s">
        <v>4383</v>
      </c>
      <c r="F108" s="293">
        <v>9000</v>
      </c>
      <c r="G108" s="295">
        <f t="shared" si="32"/>
        <v>812.20449414539269</v>
      </c>
      <c r="H108" s="296">
        <f t="shared" si="33"/>
        <v>8.2400711111111108E-2</v>
      </c>
      <c r="I108" s="296">
        <f t="shared" si="34"/>
        <v>12.135817598122131</v>
      </c>
      <c r="J108" s="99" t="s">
        <v>452</v>
      </c>
      <c r="L108" t="s">
        <v>25</v>
      </c>
      <c r="M108" t="s">
        <v>25</v>
      </c>
      <c r="R108" s="99" t="s">
        <v>749</v>
      </c>
      <c r="S108" s="99"/>
      <c r="T108" s="99"/>
      <c r="U108" s="99"/>
      <c r="V108" s="99"/>
      <c r="W108" s="99" t="s">
        <v>1232</v>
      </c>
      <c r="X108" s="99" t="s">
        <v>938</v>
      </c>
      <c r="Y108" s="69" t="s">
        <v>5562</v>
      </c>
      <c r="Z108" t="s">
        <v>25</v>
      </c>
    </row>
    <row r="109" spans="1:27">
      <c r="A109" s="295" t="s">
        <v>5596</v>
      </c>
      <c r="B109" s="295" t="s">
        <v>4233</v>
      </c>
      <c r="C109" s="297">
        <v>919.8</v>
      </c>
      <c r="D109" s="295">
        <v>100000</v>
      </c>
      <c r="E109" s="221" t="s">
        <v>4383</v>
      </c>
      <c r="F109" s="220">
        <v>10640</v>
      </c>
      <c r="G109" s="295">
        <f t="shared" si="32"/>
        <v>8520.9144668599529</v>
      </c>
      <c r="H109" s="219">
        <f t="shared" si="33"/>
        <v>8.6447368421052634E-2</v>
      </c>
      <c r="I109" s="296">
        <f t="shared" si="34"/>
        <v>11.567732115677321</v>
      </c>
      <c r="J109" s="99" t="s">
        <v>452</v>
      </c>
      <c r="R109" s="99"/>
      <c r="S109" s="99" t="s">
        <v>4383</v>
      </c>
      <c r="T109" s="99">
        <v>4279</v>
      </c>
      <c r="U109" s="117">
        <v>32796123</v>
      </c>
      <c r="V109" s="117">
        <f>U109/T109</f>
        <v>7664.436316896471</v>
      </c>
      <c r="W109" s="117">
        <f>V109*1.01</f>
        <v>7741.0806800654354</v>
      </c>
      <c r="X109" s="99">
        <f>X95</f>
        <v>12290.6</v>
      </c>
      <c r="Y109" s="99">
        <f>T109*X109</f>
        <v>52591477.399999999</v>
      </c>
    </row>
    <row r="110" spans="1:27">
      <c r="A110" s="295" t="s">
        <v>5606</v>
      </c>
      <c r="B110" s="295" t="s">
        <v>4233</v>
      </c>
      <c r="C110" s="297">
        <f>C111</f>
        <v>998.8</v>
      </c>
      <c r="D110" s="295"/>
      <c r="E110" s="62" t="s">
        <v>4379</v>
      </c>
      <c r="F110" s="51">
        <v>11700</v>
      </c>
      <c r="G110" s="295">
        <f>C110*D110*0.99025/(F110*1.0046399)</f>
        <v>0</v>
      </c>
      <c r="H110" s="296">
        <f>C110/F110</f>
        <v>8.5367521367521362E-2</v>
      </c>
      <c r="I110" s="296">
        <f>F110/C110</f>
        <v>11.71405686824189</v>
      </c>
      <c r="J110" s="99"/>
      <c r="L110" t="s">
        <v>25</v>
      </c>
      <c r="R110" s="99"/>
      <c r="S110" s="99" t="s">
        <v>4397</v>
      </c>
      <c r="T110" s="99">
        <v>70500</v>
      </c>
      <c r="U110" s="117">
        <v>100609967</v>
      </c>
      <c r="V110" s="117">
        <f t="shared" ref="V110:V111" si="35">U110/T110</f>
        <v>1427.0917304964539</v>
      </c>
      <c r="W110" s="117">
        <f t="shared" ref="W110:W111" si="36">V110*1.01</f>
        <v>1441.3626478014185</v>
      </c>
      <c r="X110" s="99">
        <f>X97</f>
        <v>1657</v>
      </c>
      <c r="Y110" s="99">
        <f t="shared" ref="Y110:Y112" si="37">T110*X110</f>
        <v>116818500</v>
      </c>
    </row>
    <row r="111" spans="1:27">
      <c r="A111" s="295" t="s">
        <v>5606</v>
      </c>
      <c r="B111" s="295" t="s">
        <v>4233</v>
      </c>
      <c r="C111" s="297">
        <v>998.8</v>
      </c>
      <c r="D111" s="295"/>
      <c r="E111" s="221" t="s">
        <v>4383</v>
      </c>
      <c r="F111" s="220">
        <v>11700</v>
      </c>
      <c r="G111" s="295">
        <f>C111*D111*0.99025/(F111*1.0046399)</f>
        <v>0</v>
      </c>
      <c r="H111" s="296">
        <f>C111/F111</f>
        <v>8.5367521367521362E-2</v>
      </c>
      <c r="I111" s="296">
        <f>F111/C111</f>
        <v>11.71405686824189</v>
      </c>
      <c r="J111" s="99"/>
      <c r="R111" s="99"/>
      <c r="S111" s="99" t="s">
        <v>4233</v>
      </c>
      <c r="T111" s="99">
        <v>12936</v>
      </c>
      <c r="U111" s="117">
        <v>6322162</v>
      </c>
      <c r="V111" s="117">
        <f t="shared" si="35"/>
        <v>488.72619047619048</v>
      </c>
      <c r="W111" s="117">
        <f t="shared" si="36"/>
        <v>493.61345238095237</v>
      </c>
      <c r="X111" s="99">
        <f>X96</f>
        <v>1048.7</v>
      </c>
      <c r="Y111" s="99">
        <f t="shared" si="37"/>
        <v>13565983.200000001</v>
      </c>
    </row>
    <row r="112" spans="1:27">
      <c r="A112" s="87"/>
      <c r="B112" s="99"/>
      <c r="C112" s="113">
        <v>1</v>
      </c>
      <c r="D112" s="87"/>
      <c r="E112" s="99"/>
      <c r="F112" s="113">
        <v>1</v>
      </c>
      <c r="G112" s="295">
        <f t="shared" si="26"/>
        <v>0</v>
      </c>
      <c r="H112" s="296">
        <f t="shared" si="30"/>
        <v>1</v>
      </c>
      <c r="I112" s="296">
        <f t="shared" si="31"/>
        <v>1</v>
      </c>
      <c r="J112" s="99"/>
      <c r="R112" s="99"/>
      <c r="S112" s="99" t="s">
        <v>5419</v>
      </c>
      <c r="T112" s="99">
        <v>4687</v>
      </c>
      <c r="U112" s="117">
        <v>1911597</v>
      </c>
      <c r="V112" s="117">
        <f>U112/T112</f>
        <v>407.85086409216984</v>
      </c>
      <c r="W112" s="117">
        <f>V112*1.01</f>
        <v>411.92937273309155</v>
      </c>
      <c r="X112" s="99">
        <f>X98</f>
        <v>840</v>
      </c>
      <c r="Y112" s="99">
        <f t="shared" si="37"/>
        <v>3937080</v>
      </c>
    </row>
    <row r="113" spans="2:25">
      <c r="D113" t="s">
        <v>25</v>
      </c>
      <c r="G113" t="s">
        <v>25</v>
      </c>
      <c r="R113" s="99" t="s">
        <v>5523</v>
      </c>
      <c r="S113" s="99" t="s">
        <v>4553</v>
      </c>
      <c r="T113" s="99">
        <v>0</v>
      </c>
      <c r="U113" s="117">
        <v>180438</v>
      </c>
      <c r="V113" s="117"/>
      <c r="W113" s="117"/>
      <c r="X113" s="99">
        <f>X99</f>
        <v>850</v>
      </c>
      <c r="Y113" s="95">
        <f>U113</f>
        <v>180438</v>
      </c>
    </row>
    <row r="114" spans="2:25">
      <c r="R114" s="99"/>
      <c r="S114" s="99"/>
      <c r="T114" s="99"/>
      <c r="U114" s="117"/>
      <c r="V114" s="117"/>
      <c r="W114" s="117"/>
      <c r="X114" s="99"/>
      <c r="Y114" s="99"/>
    </row>
    <row r="115" spans="2:25" ht="83.25" customHeight="1">
      <c r="H115" t="s">
        <v>25</v>
      </c>
      <c r="K115" t="s">
        <v>25</v>
      </c>
      <c r="R115" s="99"/>
      <c r="S115" s="99"/>
      <c r="T115" s="99"/>
      <c r="U115" s="117">
        <v>141800000</v>
      </c>
      <c r="V115" s="117"/>
      <c r="W115" s="117"/>
      <c r="X115" s="99"/>
      <c r="Y115" s="95">
        <f>SUM(Y109:Y113)</f>
        <v>187093478.59999999</v>
      </c>
    </row>
    <row r="117" spans="2:25" ht="21">
      <c r="D117" s="283"/>
      <c r="I117" t="s">
        <v>25</v>
      </c>
    </row>
    <row r="118" spans="2:25">
      <c r="I118" t="s">
        <v>25</v>
      </c>
      <c r="W118" t="s">
        <v>5563</v>
      </c>
      <c r="X118" s="114">
        <f>Y102+Y115-U102-U115</f>
        <v>211178674</v>
      </c>
    </row>
    <row r="119" spans="2:25">
      <c r="B119" s="96"/>
      <c r="C119" s="96"/>
      <c r="D119" s="96"/>
      <c r="E119" s="96"/>
      <c r="F119" s="96"/>
      <c r="G119" s="96"/>
      <c r="H119" s="96"/>
      <c r="I119" s="96"/>
      <c r="J119" s="96"/>
    </row>
    <row r="120" spans="2:25">
      <c r="B120" s="96"/>
      <c r="C120" s="96"/>
      <c r="D120" s="96"/>
      <c r="E120" s="96"/>
      <c r="F120" s="96"/>
      <c r="G120" s="96"/>
      <c r="H120" s="96"/>
      <c r="I120" s="96"/>
      <c r="J120" s="96"/>
    </row>
    <row r="121" spans="2:25">
      <c r="B121" s="96"/>
      <c r="C121" s="96"/>
      <c r="D121" s="96"/>
      <c r="E121" s="96"/>
      <c r="F121" s="96"/>
      <c r="G121" s="96"/>
      <c r="H121" s="96"/>
      <c r="I121" s="96"/>
      <c r="J121" s="96"/>
    </row>
    <row r="122" spans="2:25">
      <c r="B122" s="96"/>
      <c r="C122" s="96"/>
      <c r="D122" s="96"/>
      <c r="E122" s="96"/>
      <c r="F122" s="96"/>
      <c r="G122" s="96"/>
      <c r="H122" s="96"/>
      <c r="I122" s="96"/>
      <c r="J122" s="96"/>
    </row>
    <row r="123" spans="2:25">
      <c r="B123" s="96"/>
      <c r="C123" s="96"/>
      <c r="D123" s="96"/>
      <c r="E123" s="96"/>
      <c r="F123" s="96"/>
      <c r="G123" s="96"/>
      <c r="H123" s="96"/>
      <c r="I123" s="96"/>
      <c r="J123" s="96" t="s">
        <v>25</v>
      </c>
    </row>
    <row r="124" spans="2:25">
      <c r="B124" s="96"/>
      <c r="C124" s="96"/>
      <c r="D124" s="96"/>
      <c r="E124" s="96"/>
      <c r="F124" s="96"/>
      <c r="G124" s="96"/>
      <c r="H124" s="96"/>
      <c r="I124" s="96"/>
      <c r="J124" s="96"/>
      <c r="N124" t="s">
        <v>25</v>
      </c>
      <c r="O124" t="s">
        <v>25</v>
      </c>
    </row>
    <row r="125" spans="2:25">
      <c r="B125" s="96"/>
      <c r="C125" s="96"/>
      <c r="D125" s="96"/>
      <c r="E125" s="96"/>
      <c r="F125" s="96"/>
      <c r="G125" s="96"/>
      <c r="H125" s="96"/>
      <c r="I125" s="96"/>
      <c r="J125" s="96"/>
      <c r="N125" t="s">
        <v>25</v>
      </c>
    </row>
    <row r="126" spans="2:25">
      <c r="B126" s="96"/>
      <c r="C126" s="96"/>
      <c r="D126" s="96"/>
      <c r="E126" s="96"/>
      <c r="F126" s="96"/>
      <c r="G126" s="96"/>
      <c r="H126" s="96"/>
      <c r="I126" s="96"/>
      <c r="J126" s="96"/>
    </row>
    <row r="127" spans="2:25">
      <c r="B127" s="96"/>
      <c r="C127" s="96"/>
      <c r="D127" s="96"/>
      <c r="E127" s="96"/>
      <c r="F127" s="96"/>
      <c r="G127" s="96"/>
      <c r="H127" s="96"/>
      <c r="I127" s="96"/>
      <c r="J127" s="96"/>
    </row>
    <row r="128" spans="2:25">
      <c r="B128" s="96"/>
      <c r="C128" s="96"/>
      <c r="D128" s="96"/>
      <c r="E128" s="96"/>
      <c r="F128" s="96"/>
      <c r="G128" s="96"/>
      <c r="H128" s="96"/>
      <c r="I128" s="96"/>
      <c r="J128" s="96"/>
    </row>
    <row r="129" spans="1:14">
      <c r="B129" s="96"/>
      <c r="C129" s="96"/>
      <c r="D129" s="96"/>
      <c r="E129" s="96"/>
      <c r="F129" s="96"/>
      <c r="G129" s="96"/>
      <c r="H129" s="96"/>
      <c r="I129" s="96"/>
      <c r="J129" s="96"/>
    </row>
    <row r="130" spans="1:14">
      <c r="B130" s="96"/>
      <c r="C130" s="96"/>
      <c r="D130" s="96"/>
      <c r="E130" s="96"/>
      <c r="F130" s="96"/>
      <c r="G130" s="96"/>
      <c r="H130" s="96"/>
      <c r="I130" s="96"/>
      <c r="J130" s="96"/>
      <c r="N130" t="s">
        <v>25</v>
      </c>
    </row>
    <row r="131" spans="1:14">
      <c r="B131" s="96"/>
      <c r="C131" s="96"/>
      <c r="D131" s="96"/>
      <c r="E131" s="96"/>
      <c r="F131" s="96"/>
      <c r="G131" s="96"/>
      <c r="H131" s="96"/>
      <c r="I131" s="96"/>
      <c r="J131" s="96"/>
    </row>
    <row r="132" spans="1:14">
      <c r="B132" s="96"/>
      <c r="C132" s="96"/>
      <c r="D132" s="96"/>
      <c r="E132" s="96"/>
      <c r="F132" s="96"/>
      <c r="G132" s="96"/>
      <c r="H132" s="96"/>
      <c r="I132" s="96"/>
      <c r="J132" s="96"/>
    </row>
    <row r="133" spans="1:14">
      <c r="B133" s="96"/>
      <c r="C133" s="96"/>
      <c r="D133" s="96"/>
      <c r="E133" s="96"/>
      <c r="F133" s="96"/>
      <c r="G133" s="96"/>
      <c r="H133" s="96"/>
      <c r="I133" s="96"/>
      <c r="J133" s="96"/>
    </row>
    <row r="134" spans="1:14">
      <c r="B134" s="96"/>
      <c r="C134" s="96"/>
      <c r="D134" s="96"/>
      <c r="E134" s="96"/>
      <c r="F134" s="96"/>
      <c r="G134" s="96"/>
      <c r="H134" s="96"/>
      <c r="I134" s="96"/>
      <c r="J134" s="96"/>
    </row>
    <row r="140" spans="1:14">
      <c r="I140" t="s">
        <v>25</v>
      </c>
    </row>
    <row r="141" spans="1:14">
      <c r="A141" s="96"/>
      <c r="B141" s="96"/>
      <c r="C141" s="96"/>
      <c r="D141" s="96"/>
      <c r="E141" s="96"/>
      <c r="F141" s="96"/>
      <c r="G141" s="96"/>
      <c r="H141" s="96"/>
      <c r="I141" s="96"/>
      <c r="J141" s="96"/>
    </row>
    <row r="142" spans="1:14">
      <c r="A142" s="96"/>
      <c r="B142" s="96"/>
      <c r="C142" s="96"/>
      <c r="D142" s="96"/>
      <c r="E142" s="96"/>
      <c r="F142" s="96"/>
      <c r="G142" s="96"/>
      <c r="H142" s="96"/>
      <c r="I142" s="96"/>
      <c r="J142" s="96"/>
    </row>
    <row r="143" spans="1:14">
      <c r="A143" s="96"/>
      <c r="B143" s="96"/>
      <c r="C143" s="96"/>
      <c r="D143" s="96"/>
      <c r="E143" s="96"/>
      <c r="F143" s="96"/>
      <c r="G143" s="96"/>
      <c r="H143" s="96"/>
      <c r="I143" s="96"/>
      <c r="J143" s="96"/>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H158" t="s">
        <v>25</v>
      </c>
    </row>
    <row r="159" spans="1:10">
      <c r="H159" t="s">
        <v>25</v>
      </c>
    </row>
    <row r="162" spans="9:9">
      <c r="I162"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H322" zoomScale="85" zoomScaleNormal="85" workbookViewId="0">
      <selection activeCell="M332" sqref="M332"/>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4962</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5014</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5055</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5089</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5133</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5136</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5157</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5159</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5165</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5168</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5169</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5171</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5174</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5218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5226</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5229</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5230</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5233</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4953</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4958</v>
      </c>
      <c r="J121" s="188">
        <f>L121-L120-100000</f>
        <v>1223636</v>
      </c>
      <c r="K121" s="189" t="s">
        <v>4956</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4960</v>
      </c>
      <c r="L122" s="84">
        <v>687768941</v>
      </c>
      <c r="M122" s="84">
        <v>400952125</v>
      </c>
      <c r="N122" s="113">
        <f t="shared" si="15"/>
        <v>1088721066</v>
      </c>
      <c r="O122" s="113">
        <f t="shared" si="16"/>
        <v>-968588</v>
      </c>
      <c r="P122" s="113">
        <f t="shared" si="17"/>
        <v>-4226806</v>
      </c>
      <c r="Q122" s="229">
        <v>0</v>
      </c>
    </row>
    <row r="123" spans="9:19">
      <c r="I123" s="189" t="s">
        <v>4966</v>
      </c>
      <c r="J123" s="188">
        <f>L123-L122-115000</f>
        <v>-1004989</v>
      </c>
      <c r="K123" s="189" t="s">
        <v>4962</v>
      </c>
      <c r="L123" s="237">
        <v>686878952</v>
      </c>
      <c r="M123" s="237">
        <v>402566982</v>
      </c>
      <c r="N123" s="188">
        <f>L123+M123</f>
        <v>1089445934</v>
      </c>
      <c r="O123" s="188">
        <f>M123-M122-115000</f>
        <v>1499857</v>
      </c>
      <c r="P123" s="188">
        <f>N123-N122-230000</f>
        <v>494868</v>
      </c>
      <c r="Q123" s="229">
        <v>230000</v>
      </c>
    </row>
    <row r="124" spans="9:19">
      <c r="I124" s="189" t="s">
        <v>4970</v>
      </c>
      <c r="J124" s="188">
        <f>L124-L123-900000</f>
        <v>16455514</v>
      </c>
      <c r="K124" s="189" t="s">
        <v>4968</v>
      </c>
      <c r="L124" s="237">
        <v>704234466</v>
      </c>
      <c r="M124" s="237">
        <v>413359717</v>
      </c>
      <c r="N124" s="220">
        <f t="shared" ref="N124:N145" si="18">L124+M124</f>
        <v>1117594183</v>
      </c>
      <c r="O124" s="188">
        <f t="shared" si="16"/>
        <v>10792735</v>
      </c>
      <c r="P124" s="188">
        <f>N124-N123-900000</f>
        <v>27248249</v>
      </c>
      <c r="Q124" s="229">
        <v>900000</v>
      </c>
    </row>
    <row r="125" spans="9:19">
      <c r="I125" s="189" t="s">
        <v>4974</v>
      </c>
      <c r="J125" s="188">
        <f>L125-L124-241774</f>
        <v>7847987</v>
      </c>
      <c r="K125" s="189" t="s">
        <v>4971</v>
      </c>
      <c r="L125" s="237">
        <v>712324227</v>
      </c>
      <c r="M125" s="237">
        <v>416450606</v>
      </c>
      <c r="N125" s="220">
        <f>L125+M125</f>
        <v>1128774833</v>
      </c>
      <c r="O125" s="188">
        <f>M125-M124-50000</f>
        <v>3040889</v>
      </c>
      <c r="P125" s="188">
        <f>N125-N124-291774</f>
        <v>10888876</v>
      </c>
      <c r="Q125" s="229">
        <v>291774</v>
      </c>
    </row>
    <row r="126" spans="9:19">
      <c r="I126" s="189" t="s">
        <v>4984</v>
      </c>
      <c r="J126" s="188">
        <f>L126-L125-5701774</f>
        <v>-18426154</v>
      </c>
      <c r="K126" s="189" t="s">
        <v>4982</v>
      </c>
      <c r="L126" s="237">
        <v>699599847</v>
      </c>
      <c r="M126" s="237">
        <v>407446033</v>
      </c>
      <c r="N126" s="188">
        <f t="shared" si="18"/>
        <v>1107045880</v>
      </c>
      <c r="O126" s="188">
        <f>M126-M125-50000</f>
        <v>-9054573</v>
      </c>
      <c r="P126" s="188">
        <f>N126-N125-5751774</f>
        <v>-27480727</v>
      </c>
      <c r="Q126" s="229">
        <v>5751774</v>
      </c>
    </row>
    <row r="127" spans="9:19">
      <c r="I127" s="246" t="s">
        <v>4990</v>
      </c>
      <c r="J127" s="247">
        <f t="shared" si="7"/>
        <v>9831878</v>
      </c>
      <c r="K127" s="246" t="s">
        <v>4985</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4991</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4992</v>
      </c>
      <c r="L129" s="250">
        <v>716306417</v>
      </c>
      <c r="M129" s="250">
        <v>419768145</v>
      </c>
      <c r="N129" s="220">
        <f>L129+M129</f>
        <v>1136074562</v>
      </c>
      <c r="O129" s="117">
        <f>M129-M128</f>
        <v>2907177</v>
      </c>
      <c r="P129" s="117">
        <f>N129-N128</f>
        <v>6569162</v>
      </c>
      <c r="Q129" s="229">
        <v>0</v>
      </c>
    </row>
    <row r="130" spans="9:30">
      <c r="I130" s="189" t="s">
        <v>4999</v>
      </c>
      <c r="J130" s="188">
        <f t="shared" si="7"/>
        <v>-9284823</v>
      </c>
      <c r="K130" s="189" t="s">
        <v>4995</v>
      </c>
      <c r="L130" s="237">
        <v>707021594</v>
      </c>
      <c r="M130" s="237">
        <v>420305454</v>
      </c>
      <c r="N130" s="188">
        <f t="shared" si="18"/>
        <v>1127327048</v>
      </c>
      <c r="O130" s="188">
        <f>M130-M129-6800000</f>
        <v>-6262691</v>
      </c>
      <c r="P130" s="188">
        <f>N130-N129-6800000</f>
        <v>-15547514</v>
      </c>
      <c r="Q130" s="229">
        <v>6800000</v>
      </c>
      <c r="S130" t="s">
        <v>25</v>
      </c>
    </row>
    <row r="131" spans="9:30">
      <c r="I131" s="189" t="s">
        <v>5006</v>
      </c>
      <c r="J131" s="188">
        <f t="shared" si="7"/>
        <v>2112595</v>
      </c>
      <c r="K131" s="189" t="s">
        <v>5000</v>
      </c>
      <c r="L131" s="237">
        <v>709134189</v>
      </c>
      <c r="M131" s="237">
        <v>421097153</v>
      </c>
      <c r="N131" s="188">
        <f t="shared" si="18"/>
        <v>1130231342</v>
      </c>
      <c r="O131" s="188">
        <f>M131-M130-500000</f>
        <v>291699</v>
      </c>
      <c r="P131" s="188">
        <f>N131-N130-500000</f>
        <v>2404294</v>
      </c>
      <c r="Q131" s="229">
        <v>500000</v>
      </c>
      <c r="S131" t="s">
        <v>25</v>
      </c>
    </row>
    <row r="132" spans="9:30">
      <c r="I132" s="246" t="s">
        <v>5010</v>
      </c>
      <c r="J132" s="247">
        <f t="shared" si="7"/>
        <v>1064287</v>
      </c>
      <c r="K132" s="246" t="s">
        <v>5007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5014</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5015</v>
      </c>
      <c r="L134" s="84">
        <v>744280570</v>
      </c>
      <c r="M134" s="84">
        <v>440002399</v>
      </c>
      <c r="N134" s="220">
        <f t="shared" si="18"/>
        <v>1184282969</v>
      </c>
      <c r="O134" s="113">
        <f t="shared" si="16"/>
        <v>10396274</v>
      </c>
      <c r="P134" s="113">
        <f t="shared" si="17"/>
        <v>31854556</v>
      </c>
      <c r="Q134" s="229">
        <v>0</v>
      </c>
    </row>
    <row r="135" spans="9:30">
      <c r="I135" s="189" t="s">
        <v>5034</v>
      </c>
      <c r="J135" s="188">
        <f>L135-L134-1130250</f>
        <v>-410820</v>
      </c>
      <c r="K135" s="189" t="s">
        <v>5017</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5021</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5027</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5030</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5033</v>
      </c>
      <c r="J139" s="188">
        <f>L139-L138-206000</f>
        <v>15013287</v>
      </c>
      <c r="K139" s="189" t="s">
        <v>5032</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5038</v>
      </c>
      <c r="J140" s="247">
        <f>L140-L139-50000</f>
        <v>22852739</v>
      </c>
      <c r="K140" s="246" t="s">
        <v>5037</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5041</v>
      </c>
      <c r="L141" s="84">
        <v>788064769</v>
      </c>
      <c r="M141" s="84">
        <v>470434493</v>
      </c>
      <c r="N141" s="220">
        <f t="shared" si="18"/>
        <v>1258499262</v>
      </c>
      <c r="O141" s="113">
        <f t="shared" si="16"/>
        <v>9638295</v>
      </c>
      <c r="P141" s="113">
        <f t="shared" si="17"/>
        <v>23253284</v>
      </c>
      <c r="Q141" s="229">
        <v>0</v>
      </c>
    </row>
    <row r="142" spans="9:30">
      <c r="I142" s="189" t="s">
        <v>5044</v>
      </c>
      <c r="J142" s="188">
        <f>L142-L141-105000</f>
        <v>7274368</v>
      </c>
      <c r="K142" s="189" t="s">
        <v>5042</v>
      </c>
      <c r="L142" s="237">
        <v>795444137</v>
      </c>
      <c r="M142" s="237">
        <v>496046411</v>
      </c>
      <c r="N142" s="220">
        <f t="shared" si="18"/>
        <v>1291490548</v>
      </c>
      <c r="O142" s="188">
        <f>M142-M141-20000000</f>
        <v>5611918</v>
      </c>
      <c r="P142" s="188">
        <f>N142-N141-20105000</f>
        <v>12886286</v>
      </c>
      <c r="Q142" s="229">
        <v>20105000</v>
      </c>
    </row>
    <row r="143" spans="9:30">
      <c r="I143" s="260" t="s">
        <v>5050</v>
      </c>
      <c r="J143" s="261">
        <f>L143-L142+21285588</f>
        <v>17942685</v>
      </c>
      <c r="K143" s="260" t="s">
        <v>5046</v>
      </c>
      <c r="L143" s="262">
        <v>792101234</v>
      </c>
      <c r="M143" s="262">
        <v>504721695</v>
      </c>
      <c r="N143" s="220">
        <f t="shared" si="18"/>
        <v>1296822929</v>
      </c>
      <c r="O143" s="261">
        <f t="shared" si="16"/>
        <v>8675284</v>
      </c>
      <c r="P143" s="261">
        <f>N143-N142+21285588</f>
        <v>26617969</v>
      </c>
      <c r="Q143" s="229">
        <v>-21285588</v>
      </c>
    </row>
    <row r="144" spans="9:30">
      <c r="I144" s="260" t="s">
        <v>5051</v>
      </c>
      <c r="J144" s="261">
        <f>L144-L143+5949277</f>
        <v>6616903</v>
      </c>
      <c r="K144" s="260" t="s">
        <v>5047</v>
      </c>
      <c r="L144" s="262">
        <v>792768860</v>
      </c>
      <c r="M144" s="262">
        <v>507955566</v>
      </c>
      <c r="N144" s="220">
        <f t="shared" si="18"/>
        <v>1300724426</v>
      </c>
      <c r="O144" s="261">
        <f t="shared" si="16"/>
        <v>3233871</v>
      </c>
      <c r="P144" s="261">
        <f>N144-N143+5949277</f>
        <v>9850774</v>
      </c>
      <c r="Q144" s="229">
        <v>-5949277</v>
      </c>
    </row>
    <row r="145" spans="9:23" ht="30">
      <c r="I145" s="243" t="s">
        <v>5052</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5054</v>
      </c>
      <c r="J146" s="220">
        <f>L146-L145+15482124</f>
        <v>-6662026</v>
      </c>
      <c r="K146" s="219" t="s">
        <v>5053</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5055</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5056</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5057</v>
      </c>
      <c r="L149" s="84">
        <v>740819252</v>
      </c>
      <c r="M149" s="84">
        <v>470305993</v>
      </c>
      <c r="N149" s="113">
        <f t="shared" si="19"/>
        <v>1211125245</v>
      </c>
      <c r="O149" s="113">
        <f t="shared" si="21"/>
        <v>-1758760</v>
      </c>
      <c r="P149" s="113">
        <f t="shared" si="22"/>
        <v>-3863586</v>
      </c>
      <c r="Q149" s="229">
        <v>0</v>
      </c>
      <c r="V149" t="s">
        <v>25</v>
      </c>
    </row>
    <row r="150" spans="9:23">
      <c r="I150" s="189" t="s">
        <v>5060</v>
      </c>
      <c r="J150" s="188">
        <f t="shared" si="20"/>
        <v>19640187</v>
      </c>
      <c r="K150" s="189" t="s">
        <v>5059</v>
      </c>
      <c r="L150" s="237">
        <v>760459439</v>
      </c>
      <c r="M150" s="237">
        <v>480341526</v>
      </c>
      <c r="N150" s="188">
        <f t="shared" si="19"/>
        <v>1240800965</v>
      </c>
      <c r="O150" s="188">
        <f>M150-M149-2480000</f>
        <v>7555533</v>
      </c>
      <c r="P150" s="188">
        <f>N150-N149-2480000</f>
        <v>27195720</v>
      </c>
      <c r="Q150" s="229">
        <v>2480000</v>
      </c>
    </row>
    <row r="151" spans="9:23">
      <c r="I151" s="213" t="s">
        <v>5063</v>
      </c>
      <c r="J151" s="113">
        <f>L151-L150-10000000</f>
        <v>7047541</v>
      </c>
      <c r="K151" s="213" t="s">
        <v>5062</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5064</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5067</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5068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5065</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5069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5066</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5081</v>
      </c>
      <c r="J160" s="188">
        <f>L160-L159-1000000</f>
        <v>-11757327</v>
      </c>
      <c r="K160" s="189" t="s">
        <v>5080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5082</v>
      </c>
      <c r="L161" s="84">
        <v>809787758</v>
      </c>
      <c r="M161" s="84">
        <v>508573621</v>
      </c>
      <c r="N161" s="113">
        <f t="shared" si="19"/>
        <v>1318361379</v>
      </c>
      <c r="O161" s="113">
        <f t="shared" si="23"/>
        <v>8266116</v>
      </c>
      <c r="P161" s="113">
        <f t="shared" si="24"/>
        <v>23567917</v>
      </c>
    </row>
    <row r="162" spans="9:18">
      <c r="I162" s="246" t="s">
        <v>5084</v>
      </c>
      <c r="J162" s="247">
        <f>L162-L161-40000</f>
        <v>22492792</v>
      </c>
      <c r="K162" s="246" t="s">
        <v>5083</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5086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5093</v>
      </c>
      <c r="L164" s="84">
        <v>839851298</v>
      </c>
      <c r="M164" s="84">
        <v>524867809</v>
      </c>
      <c r="N164" s="113">
        <f t="shared" si="19"/>
        <v>1364719107</v>
      </c>
      <c r="O164" s="113">
        <f t="shared" si="23"/>
        <v>-5011363</v>
      </c>
      <c r="P164" s="113">
        <f t="shared" si="24"/>
        <v>-14640971</v>
      </c>
      <c r="Q164" s="229">
        <v>0</v>
      </c>
    </row>
    <row r="165" spans="9:18">
      <c r="I165" s="246" t="s">
        <v>5096</v>
      </c>
      <c r="J165" s="247">
        <f>L165-L164-120000</f>
        <v>-2216696</v>
      </c>
      <c r="K165" s="246" t="s">
        <v>5095</v>
      </c>
      <c r="L165" s="248">
        <v>837754602</v>
      </c>
      <c r="M165" s="248">
        <v>524141818</v>
      </c>
      <c r="N165" s="247">
        <f t="shared" si="19"/>
        <v>1361896420</v>
      </c>
      <c r="O165" s="247">
        <f>M165-M164-200000</f>
        <v>-925991</v>
      </c>
      <c r="P165" s="247">
        <f>N165-N164-320000</f>
        <v>-3142687</v>
      </c>
      <c r="Q165" s="229">
        <v>320000</v>
      </c>
    </row>
    <row r="166" spans="9:18">
      <c r="I166" s="246" t="s">
        <v>5006</v>
      </c>
      <c r="J166" s="247">
        <f t="shared" si="20"/>
        <v>-5830761</v>
      </c>
      <c r="K166" s="246" t="s">
        <v>5099</v>
      </c>
      <c r="L166" s="248">
        <v>831923841</v>
      </c>
      <c r="M166" s="248">
        <v>520741895</v>
      </c>
      <c r="N166" s="247">
        <f t="shared" si="19"/>
        <v>1352665736</v>
      </c>
      <c r="O166" s="247">
        <f>M166-M165-500000</f>
        <v>-3899923</v>
      </c>
      <c r="P166" s="247">
        <f>N166-N165-500000</f>
        <v>-9730684</v>
      </c>
      <c r="Q166" s="229">
        <v>500000</v>
      </c>
    </row>
    <row r="167" spans="9:18">
      <c r="I167" s="246" t="s">
        <v>5006</v>
      </c>
      <c r="J167" s="247">
        <f t="shared" si="20"/>
        <v>-22467551</v>
      </c>
      <c r="K167" s="246" t="s">
        <v>5101</v>
      </c>
      <c r="L167" s="248">
        <v>809456290</v>
      </c>
      <c r="M167" s="248">
        <v>509313372</v>
      </c>
      <c r="N167" s="247">
        <f t="shared" si="19"/>
        <v>1318769662</v>
      </c>
      <c r="O167" s="247">
        <f>M167-M166-500000</f>
        <v>-11928523</v>
      </c>
      <c r="P167" s="247">
        <f>N167-N166-500000</f>
        <v>-34396074</v>
      </c>
      <c r="Q167" s="229">
        <v>500000</v>
      </c>
    </row>
    <row r="168" spans="9:18">
      <c r="I168" s="246" t="s">
        <v>5102</v>
      </c>
      <c r="J168" s="247">
        <f>L168-L167-249000</f>
        <v>-15588738</v>
      </c>
      <c r="K168" s="246" t="s">
        <v>5088</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5103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5106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5114</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5115</v>
      </c>
      <c r="L173" s="84">
        <v>802082154</v>
      </c>
      <c r="M173" s="84">
        <v>508611485</v>
      </c>
      <c r="N173" s="113">
        <f t="shared" si="19"/>
        <v>1310693639</v>
      </c>
      <c r="O173" s="113">
        <f t="shared" si="23"/>
        <v>-117320</v>
      </c>
      <c r="P173" s="113">
        <f t="shared" si="24"/>
        <v>-4323075</v>
      </c>
      <c r="Q173" s="229">
        <v>0</v>
      </c>
      <c r="R173" t="s">
        <v>25</v>
      </c>
    </row>
    <row r="174" spans="9:18">
      <c r="I174" s="246" t="s">
        <v>5118</v>
      </c>
      <c r="J174" s="247">
        <f>L174-L173-65000</f>
        <v>5888390</v>
      </c>
      <c r="K174" s="246" t="s">
        <v>5117</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5124</v>
      </c>
      <c r="J176" s="244">
        <f>L176-L175+305807</f>
        <v>8668560</v>
      </c>
      <c r="K176" s="216" t="s">
        <v>5122</v>
      </c>
      <c r="L176" s="245">
        <v>816745622</v>
      </c>
      <c r="M176" s="245">
        <v>516127148</v>
      </c>
      <c r="N176" s="244">
        <f t="shared" si="19"/>
        <v>1332872770</v>
      </c>
      <c r="O176" s="244">
        <f>M176-M175+305807</f>
        <v>3691986</v>
      </c>
      <c r="P176" s="244">
        <f>N176-N175+611614</f>
        <v>12360546</v>
      </c>
      <c r="Q176" s="229">
        <v>-611614</v>
      </c>
    </row>
    <row r="177" spans="9:17">
      <c r="I177" s="152" t="s">
        <v>5125</v>
      </c>
      <c r="J177" s="244">
        <f>L177-L176+63348</f>
        <v>4837676</v>
      </c>
      <c r="K177" s="216" t="s">
        <v>5123</v>
      </c>
      <c r="L177" s="245">
        <v>821519950</v>
      </c>
      <c r="M177" s="245">
        <v>505943649</v>
      </c>
      <c r="N177" s="244">
        <f t="shared" si="19"/>
        <v>1327463599</v>
      </c>
      <c r="O177" s="244">
        <f>M177-M176+13076601</f>
        <v>2893102</v>
      </c>
      <c r="P177" s="244">
        <f>N177-N176+13139949</f>
        <v>7730778</v>
      </c>
      <c r="Q177" s="229">
        <v>-13139949</v>
      </c>
    </row>
    <row r="178" spans="9:17">
      <c r="I178" s="267" t="s">
        <v>5128</v>
      </c>
      <c r="J178" s="268">
        <f>L178-L177-50000</f>
        <v>30757186</v>
      </c>
      <c r="K178" s="267" t="s">
        <v>5127</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5089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5133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5136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5137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5142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5143</v>
      </c>
      <c r="L184" s="84">
        <v>904707054</v>
      </c>
      <c r="M184" s="84">
        <v>557394961</v>
      </c>
      <c r="N184" s="113">
        <f t="shared" si="19"/>
        <v>1462102015</v>
      </c>
      <c r="O184" s="113">
        <f t="shared" si="23"/>
        <v>-6711498</v>
      </c>
      <c r="P184" s="113">
        <f t="shared" si="24"/>
        <v>-18369320</v>
      </c>
      <c r="Q184" s="229">
        <v>0</v>
      </c>
    </row>
    <row r="185" spans="9:17">
      <c r="I185" s="189" t="s">
        <v>5146</v>
      </c>
      <c r="J185" s="188">
        <f>L185-L184-200000</f>
        <v>15983884</v>
      </c>
      <c r="K185" s="189" t="s">
        <v>5144</v>
      </c>
      <c r="L185" s="237">
        <v>920890938</v>
      </c>
      <c r="M185" s="237">
        <v>566042468</v>
      </c>
      <c r="N185" s="188">
        <f t="shared" si="19"/>
        <v>1486933406</v>
      </c>
      <c r="O185" s="188">
        <f t="shared" si="23"/>
        <v>8647507</v>
      </c>
      <c r="P185" s="188">
        <f>N185-N184-200000</f>
        <v>24631391</v>
      </c>
      <c r="Q185" s="229">
        <v>200000</v>
      </c>
    </row>
    <row r="186" spans="9:17">
      <c r="I186" s="189" t="s">
        <v>5153</v>
      </c>
      <c r="J186" s="188">
        <f>L186-L185-30000</f>
        <v>1392982</v>
      </c>
      <c r="K186" s="189" t="s">
        <v>5147</v>
      </c>
      <c r="L186" s="237">
        <v>922313920</v>
      </c>
      <c r="M186" s="237">
        <v>567221668</v>
      </c>
      <c r="N186" s="188">
        <f t="shared" si="19"/>
        <v>1489535588</v>
      </c>
      <c r="O186" s="188">
        <f t="shared" si="23"/>
        <v>1179200</v>
      </c>
      <c r="P186" s="188">
        <f>N186-N185-30000</f>
        <v>2572182</v>
      </c>
      <c r="Q186" s="229">
        <v>30000</v>
      </c>
    </row>
    <row r="187" spans="9:17">
      <c r="I187" s="213" t="s">
        <v>5158</v>
      </c>
      <c r="J187" s="113">
        <f t="shared" si="20"/>
        <v>-1865454</v>
      </c>
      <c r="K187" s="213" t="s">
        <v>5157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5159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5105</v>
      </c>
      <c r="L189" s="84">
        <v>951067529</v>
      </c>
      <c r="M189" s="84">
        <v>596275041</v>
      </c>
      <c r="N189" s="220">
        <f t="shared" si="19"/>
        <v>1547342570</v>
      </c>
      <c r="O189" s="113">
        <f t="shared" si="23"/>
        <v>8603623</v>
      </c>
      <c r="P189" s="113">
        <f t="shared" si="24"/>
        <v>26700407</v>
      </c>
      <c r="Q189" s="229">
        <v>0</v>
      </c>
    </row>
    <row r="190" spans="9:17" ht="30">
      <c r="I190" s="266" t="s">
        <v>5166</v>
      </c>
      <c r="J190" s="188">
        <f>L190-L189+4000000</f>
        <v>-1393565</v>
      </c>
      <c r="K190" s="189" t="s">
        <v>5165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5168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5169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5171</v>
      </c>
      <c r="L194" s="250">
        <v>901275329</v>
      </c>
      <c r="M194" s="250">
        <v>583098793</v>
      </c>
      <c r="N194" s="117">
        <f>L194+M194</f>
        <v>1484374122</v>
      </c>
      <c r="O194" s="117">
        <f t="shared" si="23"/>
        <v>-3486217</v>
      </c>
      <c r="P194" s="117">
        <f>N194-N193</f>
        <v>-18861608</v>
      </c>
      <c r="Q194" s="229">
        <v>0</v>
      </c>
    </row>
    <row r="195" spans="9:17">
      <c r="I195" s="189" t="s">
        <v>5176</v>
      </c>
      <c r="J195" s="188">
        <f>L195-L194-150000</f>
        <v>17593478</v>
      </c>
      <c r="K195" s="189" t="s">
        <v>5174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5177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5178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5183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5208</v>
      </c>
      <c r="L199" s="84">
        <v>992076311</v>
      </c>
      <c r="M199" s="84">
        <v>638214788</v>
      </c>
      <c r="N199" s="220">
        <f t="shared" si="19"/>
        <v>1630291099</v>
      </c>
      <c r="O199" s="113">
        <f t="shared" si="23"/>
        <v>470124</v>
      </c>
      <c r="P199" s="113">
        <f t="shared" si="24"/>
        <v>12547575</v>
      </c>
      <c r="Q199" s="229">
        <v>0</v>
      </c>
    </row>
    <row r="200" spans="9:17">
      <c r="I200" s="189" t="s">
        <v>5213</v>
      </c>
      <c r="J200" s="188">
        <f>L200-L199-400000</f>
        <v>-7612896</v>
      </c>
      <c r="K200" s="189" t="s">
        <v>5210</v>
      </c>
      <c r="L200" s="237">
        <v>984863415</v>
      </c>
      <c r="M200" s="237">
        <v>632226484</v>
      </c>
      <c r="N200" s="188">
        <f t="shared" si="19"/>
        <v>1617089899</v>
      </c>
      <c r="O200" s="188">
        <f t="shared" si="23"/>
        <v>-5988304</v>
      </c>
      <c r="P200" s="188">
        <f>N200-N199-400000</f>
        <v>-13601200</v>
      </c>
      <c r="Q200" s="229">
        <v>400000</v>
      </c>
    </row>
    <row r="201" spans="9:17">
      <c r="I201" s="216" t="s">
        <v>5216</v>
      </c>
      <c r="J201" s="244">
        <f>L201-L200+100000</f>
        <v>12509920</v>
      </c>
      <c r="K201" s="216" t="s">
        <v>5214</v>
      </c>
      <c r="L201" s="245">
        <v>997273335</v>
      </c>
      <c r="M201" s="245">
        <v>639479822</v>
      </c>
      <c r="N201" s="220">
        <f t="shared" si="19"/>
        <v>1636753157</v>
      </c>
      <c r="O201" s="244">
        <f t="shared" si="23"/>
        <v>7253338</v>
      </c>
      <c r="P201" s="244">
        <f>N201-N200+100000</f>
        <v>19763258</v>
      </c>
      <c r="Q201" s="229">
        <v>-100000</v>
      </c>
    </row>
    <row r="202" spans="9:17">
      <c r="I202" s="189" t="s">
        <v>5219</v>
      </c>
      <c r="J202" s="188">
        <f>L202-L201-10000000</f>
        <v>-2265988</v>
      </c>
      <c r="K202" s="189" t="s">
        <v>5218</v>
      </c>
      <c r="L202" s="237">
        <v>1005007347</v>
      </c>
      <c r="M202" s="237">
        <v>636084938</v>
      </c>
      <c r="N202" s="188">
        <f t="shared" si="19"/>
        <v>1641092285</v>
      </c>
      <c r="O202" s="188">
        <f t="shared" si="23"/>
        <v>-3394884</v>
      </c>
      <c r="P202" s="188">
        <f>N202-N201-10000000</f>
        <v>-5660872</v>
      </c>
      <c r="Q202" s="229">
        <v>10000000</v>
      </c>
    </row>
    <row r="203" spans="9:17">
      <c r="I203" s="216" t="s">
        <v>5224</v>
      </c>
      <c r="J203" s="244">
        <f>L203-L202+400000</f>
        <v>8061336</v>
      </c>
      <c r="K203" s="216" t="s">
        <v>5223</v>
      </c>
      <c r="L203" s="245">
        <v>1012668683</v>
      </c>
      <c r="M203" s="245">
        <v>641491326</v>
      </c>
      <c r="N203" s="220">
        <f t="shared" si="19"/>
        <v>1654160009</v>
      </c>
      <c r="O203" s="244">
        <f t="shared" si="23"/>
        <v>5406388</v>
      </c>
      <c r="P203" s="244">
        <f>N203-N202+400000</f>
        <v>13467724</v>
      </c>
      <c r="Q203" s="229">
        <v>-400000</v>
      </c>
    </row>
    <row r="204" spans="9:17">
      <c r="I204" s="216" t="s">
        <v>5225</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5226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5229</v>
      </c>
      <c r="L206" s="84">
        <v>991102717</v>
      </c>
      <c r="M206" s="84">
        <v>623731041</v>
      </c>
      <c r="N206" s="113">
        <f t="shared" si="26"/>
        <v>1614833758</v>
      </c>
      <c r="O206" s="113">
        <f t="shared" si="27"/>
        <v>-2790917</v>
      </c>
      <c r="P206" s="113">
        <f t="shared" si="28"/>
        <v>-6391417</v>
      </c>
      <c r="Q206" s="229">
        <v>0</v>
      </c>
    </row>
    <row r="207" spans="9:17">
      <c r="I207" s="189" t="s">
        <v>5232</v>
      </c>
      <c r="J207" s="188">
        <f>L207-L206-1300000</f>
        <v>-17889835</v>
      </c>
      <c r="K207" s="189" t="s">
        <v>5230</v>
      </c>
      <c r="L207" s="237">
        <v>974512882</v>
      </c>
      <c r="M207" s="237">
        <v>611227725</v>
      </c>
      <c r="N207" s="188">
        <f t="shared" si="26"/>
        <v>1585740607</v>
      </c>
      <c r="O207" s="188">
        <f>M207-M206-230000</f>
        <v>-12733316</v>
      </c>
      <c r="P207" s="188">
        <f>N207-N206-1530000</f>
        <v>-30623151</v>
      </c>
      <c r="Q207" s="229">
        <v>1530000</v>
      </c>
    </row>
    <row r="208" spans="9:17">
      <c r="I208" s="216" t="s">
        <v>5234</v>
      </c>
      <c r="J208" s="244">
        <f>L208-L207-230000</f>
        <v>26666770</v>
      </c>
      <c r="K208" s="216" t="s">
        <v>5233</v>
      </c>
      <c r="L208" s="245">
        <v>1001409652</v>
      </c>
      <c r="M208" s="245">
        <v>627313031</v>
      </c>
      <c r="N208" s="244">
        <f t="shared" si="26"/>
        <v>1628722683</v>
      </c>
      <c r="O208" s="244">
        <f>M208-M207+880000</f>
        <v>16965306</v>
      </c>
      <c r="P208" s="244">
        <f t="shared" si="28"/>
        <v>42982076</v>
      </c>
      <c r="Q208" s="229">
        <v>-650000</v>
      </c>
    </row>
    <row r="209" spans="9:19">
      <c r="I209" s="189" t="s">
        <v>5235</v>
      </c>
      <c r="J209" s="188">
        <f>L209-L208-880000</f>
        <v>38363123</v>
      </c>
      <c r="K209" s="189" t="s">
        <v>5236</v>
      </c>
      <c r="L209" s="237">
        <v>1040652775</v>
      </c>
      <c r="M209" s="237">
        <v>653526288</v>
      </c>
      <c r="N209" s="220">
        <f t="shared" si="26"/>
        <v>1694179063</v>
      </c>
      <c r="O209" s="188">
        <f t="shared" si="27"/>
        <v>26213257</v>
      </c>
      <c r="P209" s="188">
        <f>N209-N208-880000</f>
        <v>64576380</v>
      </c>
      <c r="Q209" s="229">
        <v>880000</v>
      </c>
    </row>
    <row r="210" spans="9:19">
      <c r="I210" s="216" t="s">
        <v>5240</v>
      </c>
      <c r="J210" s="244">
        <f>L210-L209+900000</f>
        <v>20298534</v>
      </c>
      <c r="K210" s="216" t="s">
        <v>5238</v>
      </c>
      <c r="L210" s="245">
        <v>1060051309</v>
      </c>
      <c r="M210" s="245">
        <v>663872836</v>
      </c>
      <c r="N210" s="220">
        <f t="shared" si="26"/>
        <v>1723924145</v>
      </c>
      <c r="O210" s="244">
        <f>M210-M209-200000</f>
        <v>10146548</v>
      </c>
      <c r="P210" s="244">
        <f>N210-N209+700000</f>
        <v>30445082</v>
      </c>
      <c r="Q210" s="229">
        <v>-700000</v>
      </c>
    </row>
    <row r="211" spans="9:19">
      <c r="I211" s="189" t="s">
        <v>5241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5242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5243</v>
      </c>
      <c r="J213" s="113">
        <f>L213-L212+800000</f>
        <v>15351721</v>
      </c>
      <c r="K213" s="213" t="s">
        <v>5244</v>
      </c>
      <c r="L213" s="84">
        <v>1017597520</v>
      </c>
      <c r="M213" s="84">
        <v>638870084</v>
      </c>
      <c r="N213" s="113">
        <f t="shared" si="26"/>
        <v>1656467604</v>
      </c>
      <c r="O213" s="113">
        <f>M213-M212+10000000</f>
        <v>14214313</v>
      </c>
      <c r="P213" s="113">
        <f>N213-N212+10800000</f>
        <v>29566034</v>
      </c>
      <c r="Q213" s="229">
        <v>-10800000</v>
      </c>
    </row>
    <row r="214" spans="9:19">
      <c r="I214" s="216" t="s">
        <v>5251</v>
      </c>
      <c r="J214" s="244">
        <f t="shared" si="25"/>
        <v>-18127600</v>
      </c>
      <c r="K214" s="216" t="s">
        <v>5246</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5252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5254</v>
      </c>
      <c r="J217" s="244">
        <f>L217-L216-50000</f>
        <v>-3947893</v>
      </c>
      <c r="K217" s="216" t="s">
        <v>5253</v>
      </c>
      <c r="L217" s="245">
        <v>1010326365</v>
      </c>
      <c r="M217" s="245">
        <v>632690003</v>
      </c>
      <c r="N217" s="244">
        <f t="shared" si="29"/>
        <v>1643016368</v>
      </c>
      <c r="O217" s="244">
        <f t="shared" si="30"/>
        <v>-2811879</v>
      </c>
      <c r="P217" s="244">
        <f>N217-N216-50000</f>
        <v>-6759772</v>
      </c>
      <c r="Q217" s="229">
        <v>50000</v>
      </c>
    </row>
    <row r="218" spans="9:19">
      <c r="I218" s="216" t="s">
        <v>5256</v>
      </c>
      <c r="J218" s="244">
        <f>L218-L217-400000</f>
        <v>-7352281</v>
      </c>
      <c r="K218" s="216" t="s">
        <v>5258</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5260</v>
      </c>
      <c r="L219" s="84">
        <v>999517682</v>
      </c>
      <c r="M219" s="84">
        <v>627640361</v>
      </c>
      <c r="N219" s="113">
        <f t="shared" si="29"/>
        <v>1627158043</v>
      </c>
      <c r="O219" s="113">
        <f t="shared" si="30"/>
        <v>-1762209</v>
      </c>
      <c r="P219" s="113">
        <f t="shared" si="31"/>
        <v>-5618611</v>
      </c>
      <c r="Q219" s="229">
        <v>0</v>
      </c>
    </row>
    <row r="220" spans="9:19">
      <c r="I220" s="189" t="s">
        <v>5262</v>
      </c>
      <c r="J220" s="188">
        <f t="shared" si="25"/>
        <v>30762624</v>
      </c>
      <c r="K220" s="189" t="s">
        <v>5261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5228</v>
      </c>
      <c r="L221" s="84">
        <v>1013932649</v>
      </c>
      <c r="M221" s="84">
        <v>635152182</v>
      </c>
      <c r="N221" s="113">
        <f t="shared" si="29"/>
        <v>1649084831</v>
      </c>
      <c r="O221" s="113">
        <f t="shared" si="30"/>
        <v>-10386048</v>
      </c>
      <c r="P221" s="113">
        <f t="shared" si="31"/>
        <v>-26733705</v>
      </c>
      <c r="Q221" s="229">
        <v>0</v>
      </c>
    </row>
    <row r="222" spans="9:19">
      <c r="I222" s="272" t="s">
        <v>5268</v>
      </c>
      <c r="J222" s="273">
        <f>L222-L221+7000000</f>
        <v>4431891</v>
      </c>
      <c r="K222" s="272" t="s">
        <v>5269</v>
      </c>
      <c r="L222" s="274">
        <v>1011364540</v>
      </c>
      <c r="M222" s="274">
        <v>634014280</v>
      </c>
      <c r="N222" s="273">
        <f t="shared" si="29"/>
        <v>1645378820</v>
      </c>
      <c r="O222" s="273">
        <f t="shared" si="30"/>
        <v>-1137902</v>
      </c>
      <c r="P222" s="273">
        <f>N222-N221+7000000</f>
        <v>3293989</v>
      </c>
      <c r="Q222" s="229">
        <v>-7000000</v>
      </c>
    </row>
    <row r="223" spans="9:19">
      <c r="I223" s="216" t="s">
        <v>5271</v>
      </c>
      <c r="J223" s="244">
        <f t="shared" si="25"/>
        <v>-12364540</v>
      </c>
      <c r="K223" s="216" t="s">
        <v>5270</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5272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5273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5274</v>
      </c>
      <c r="L226" s="84">
        <v>995000000</v>
      </c>
      <c r="M226" s="84">
        <v>625000000</v>
      </c>
      <c r="N226" s="113">
        <f t="shared" si="29"/>
        <v>1620000000</v>
      </c>
      <c r="O226" s="113">
        <f t="shared" si="30"/>
        <v>-2621912</v>
      </c>
      <c r="P226" s="113">
        <f t="shared" si="31"/>
        <v>-8262288</v>
      </c>
      <c r="Q226" s="229">
        <v>0</v>
      </c>
    </row>
    <row r="227" spans="9:19">
      <c r="I227" s="189" t="s">
        <v>5275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5277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5278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5279</v>
      </c>
      <c r="L230" s="84">
        <v>981346829</v>
      </c>
      <c r="M230" s="84">
        <v>616768631</v>
      </c>
      <c r="N230" s="113">
        <f>L230+M230</f>
        <v>1598115460</v>
      </c>
      <c r="O230" s="113">
        <f t="shared" si="30"/>
        <v>-231369</v>
      </c>
      <c r="P230" s="113">
        <f t="shared" si="31"/>
        <v>-2584540</v>
      </c>
      <c r="Q230" s="229">
        <v>0</v>
      </c>
    </row>
    <row r="231" spans="9:19">
      <c r="I231" s="189" t="s">
        <v>5281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5280</v>
      </c>
      <c r="L232" s="84">
        <v>982764273</v>
      </c>
      <c r="M232" s="84">
        <v>618232370</v>
      </c>
      <c r="N232" s="113">
        <f t="shared" si="29"/>
        <v>1600996643</v>
      </c>
      <c r="O232" s="113">
        <f t="shared" si="30"/>
        <v>9817180</v>
      </c>
      <c r="P232" s="113">
        <f t="shared" si="31"/>
        <v>27833689</v>
      </c>
      <c r="Q232" s="229">
        <v>0</v>
      </c>
    </row>
    <row r="233" spans="9:19">
      <c r="I233" s="189" t="s">
        <v>5285</v>
      </c>
      <c r="J233" s="188">
        <f>L233-L232+990760</f>
        <v>270597</v>
      </c>
      <c r="K233" s="189" t="s">
        <v>5284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5286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5287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5292</v>
      </c>
      <c r="L237" s="84">
        <v>973935836</v>
      </c>
      <c r="M237" s="84">
        <v>612781866</v>
      </c>
      <c r="N237" s="113">
        <f t="shared" si="29"/>
        <v>1586717702</v>
      </c>
      <c r="O237" s="113">
        <f t="shared" si="30"/>
        <v>-4703074</v>
      </c>
      <c r="P237" s="113">
        <f t="shared" si="31"/>
        <v>-14274043</v>
      </c>
      <c r="Q237" s="229">
        <v>0</v>
      </c>
    </row>
    <row r="238" spans="9:19">
      <c r="I238" s="216" t="s">
        <v>5294</v>
      </c>
      <c r="J238" s="244">
        <f>L238-L237-101268</f>
        <v>10034013</v>
      </c>
      <c r="K238" s="216" t="s">
        <v>5293</v>
      </c>
      <c r="L238" s="245">
        <v>984071117</v>
      </c>
      <c r="M238" s="245">
        <v>619527192</v>
      </c>
      <c r="N238" s="244">
        <f t="shared" si="29"/>
        <v>1603598309</v>
      </c>
      <c r="O238" s="244">
        <f t="shared" si="30"/>
        <v>6745326</v>
      </c>
      <c r="P238" s="244">
        <f>N238-N237-101268</f>
        <v>16779339</v>
      </c>
      <c r="Q238" s="229">
        <v>101268</v>
      </c>
    </row>
    <row r="239" spans="9:19">
      <c r="I239" s="275" t="s">
        <v>5295</v>
      </c>
      <c r="J239" s="94">
        <f>L239-L238-101000</f>
        <v>-5512506</v>
      </c>
      <c r="K239" s="275" t="s">
        <v>5296</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5297</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5299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5302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5303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5306</v>
      </c>
      <c r="L246" s="84">
        <v>998587209</v>
      </c>
      <c r="M246" s="84">
        <v>628989460</v>
      </c>
      <c r="N246" s="113">
        <f t="shared" si="33"/>
        <v>1627576669</v>
      </c>
      <c r="O246" s="113">
        <f t="shared" si="34"/>
        <v>-386804</v>
      </c>
      <c r="P246" s="113">
        <f t="shared" si="35"/>
        <v>-378799</v>
      </c>
      <c r="Q246" s="229">
        <v>0</v>
      </c>
    </row>
    <row r="247" spans="9:19">
      <c r="I247" s="189" t="s">
        <v>5308</v>
      </c>
      <c r="J247" s="188">
        <f t="shared" si="32"/>
        <v>57939414</v>
      </c>
      <c r="K247" s="189" t="s">
        <v>5307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5309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5312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5313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5314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5315</v>
      </c>
      <c r="L255" s="84">
        <v>1154946925</v>
      </c>
      <c r="M255" s="84">
        <v>724493233</v>
      </c>
      <c r="N255" s="220">
        <f t="shared" si="37"/>
        <v>1879440158</v>
      </c>
      <c r="O255" s="113">
        <f t="shared" si="38"/>
        <v>3771085</v>
      </c>
      <c r="P255" s="113">
        <f t="shared" si="39"/>
        <v>9561690</v>
      </c>
      <c r="Q255" s="229">
        <v>0</v>
      </c>
    </row>
    <row r="256" spans="9:19">
      <c r="I256" s="213" t="s">
        <v>5316</v>
      </c>
      <c r="J256" s="113">
        <f t="shared" si="36"/>
        <v>40761008</v>
      </c>
      <c r="K256" s="213" t="s">
        <v>5317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5319</v>
      </c>
      <c r="L257" s="84">
        <v>1204397532</v>
      </c>
      <c r="M257" s="84">
        <v>768290500</v>
      </c>
      <c r="N257" s="220">
        <f t="shared" si="37"/>
        <v>1972688032</v>
      </c>
      <c r="O257" s="113">
        <f t="shared" si="38"/>
        <v>4065339</v>
      </c>
      <c r="P257" s="113">
        <f t="shared" si="39"/>
        <v>12754938</v>
      </c>
      <c r="Q257" s="229">
        <v>0</v>
      </c>
    </row>
    <row r="258" spans="9:19">
      <c r="I258" s="189" t="s">
        <v>5322</v>
      </c>
      <c r="J258" s="188">
        <f>L258-L257+488602</f>
        <v>5275127</v>
      </c>
      <c r="K258" s="189" t="s">
        <v>5320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5324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5329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5335</v>
      </c>
      <c r="L262" s="84">
        <v>1153433035</v>
      </c>
      <c r="M262" s="84">
        <v>736240181</v>
      </c>
      <c r="N262" s="113">
        <f t="shared" si="37"/>
        <v>1889673216</v>
      </c>
      <c r="O262" s="113">
        <f t="shared" si="38"/>
        <v>-19759819</v>
      </c>
      <c r="P262" s="113">
        <f t="shared" si="39"/>
        <v>-46326784</v>
      </c>
      <c r="Q262" s="229">
        <v>0</v>
      </c>
    </row>
    <row r="263" spans="9:19">
      <c r="I263" s="216" t="s">
        <v>5337</v>
      </c>
      <c r="J263" s="244">
        <f>L263-L262-360000</f>
        <v>-33793035</v>
      </c>
      <c r="K263" s="216" t="s">
        <v>5336</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5338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5342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5343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5348</v>
      </c>
      <c r="J268" s="188">
        <f>L268-L267+3600000</f>
        <v>6784521</v>
      </c>
      <c r="K268" s="189" t="s">
        <v>5344</v>
      </c>
      <c r="L268" s="237">
        <v>1227517149</v>
      </c>
      <c r="M268" s="237">
        <v>781946723</v>
      </c>
      <c r="N268" s="220">
        <f>L268+M268</f>
        <v>2009463872</v>
      </c>
      <c r="O268" s="188">
        <f t="shared" si="42"/>
        <v>648802</v>
      </c>
      <c r="P268" s="188">
        <f>N268-N267+3600000</f>
        <v>7433323</v>
      </c>
      <c r="Q268" s="229">
        <v>-3600000</v>
      </c>
    </row>
    <row r="269" spans="9:19">
      <c r="I269" s="216" t="s">
        <v>5350</v>
      </c>
      <c r="J269" s="244">
        <f t="shared" si="40"/>
        <v>8668842</v>
      </c>
      <c r="K269" s="216" t="s">
        <v>5347</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5356</v>
      </c>
      <c r="L270" s="84">
        <v>1295586377</v>
      </c>
      <c r="M270" s="84">
        <v>830602955</v>
      </c>
      <c r="N270" s="220">
        <f t="shared" si="41"/>
        <v>2126189332</v>
      </c>
      <c r="O270" s="113">
        <f t="shared" si="42"/>
        <v>39667491</v>
      </c>
      <c r="P270" s="113">
        <f t="shared" si="43"/>
        <v>99067877</v>
      </c>
      <c r="Q270" s="229">
        <v>0</v>
      </c>
    </row>
    <row r="271" spans="9:19">
      <c r="I271" s="189" t="s">
        <v>5358</v>
      </c>
      <c r="J271" s="188">
        <f>L271-L270+1000000</f>
        <v>21062163</v>
      </c>
      <c r="K271" s="189" t="s">
        <v>5357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5360</v>
      </c>
      <c r="L272" s="84">
        <v>1290000000</v>
      </c>
      <c r="M272" s="84">
        <v>830000000</v>
      </c>
      <c r="N272" s="113">
        <f t="shared" si="41"/>
        <v>2120000000</v>
      </c>
      <c r="O272" s="113">
        <f t="shared" si="42"/>
        <v>-7889920</v>
      </c>
      <c r="P272" s="113">
        <f t="shared" si="43"/>
        <v>-33538460</v>
      </c>
    </row>
    <row r="273" spans="4:23">
      <c r="I273" s="213"/>
      <c r="J273" s="113">
        <f t="shared" si="40"/>
        <v>5173477</v>
      </c>
      <c r="K273" s="213" t="s">
        <v>5364</v>
      </c>
      <c r="L273" s="84">
        <v>1295173477</v>
      </c>
      <c r="M273" s="84">
        <v>832119130</v>
      </c>
      <c r="N273" s="113">
        <f t="shared" si="41"/>
        <v>2127292607</v>
      </c>
      <c r="O273" s="113">
        <f t="shared" si="42"/>
        <v>2119130</v>
      </c>
      <c r="P273" s="113">
        <f t="shared" si="43"/>
        <v>7292607</v>
      </c>
    </row>
    <row r="274" spans="4:23">
      <c r="D274" t="s">
        <v>25</v>
      </c>
      <c r="I274" s="216" t="s">
        <v>5337</v>
      </c>
      <c r="J274" s="244">
        <f>L274-L273-360000</f>
        <v>-3379409</v>
      </c>
      <c r="K274" s="216" t="s">
        <v>5365</v>
      </c>
      <c r="L274" s="245">
        <v>1292154068</v>
      </c>
      <c r="M274" s="245">
        <v>833033746</v>
      </c>
      <c r="N274" s="244">
        <f t="shared" si="41"/>
        <v>2125187814</v>
      </c>
      <c r="O274" s="244">
        <f t="shared" si="42"/>
        <v>914616</v>
      </c>
      <c r="P274" s="244">
        <f>N274-N273-360000</f>
        <v>-2464793</v>
      </c>
      <c r="Q274" s="229">
        <v>360000</v>
      </c>
    </row>
    <row r="275" spans="4:23">
      <c r="I275" s="216" t="s">
        <v>5370</v>
      </c>
      <c r="J275" s="244">
        <f>L275-L274-2000000</f>
        <v>-22946012</v>
      </c>
      <c r="K275" s="216" t="s">
        <v>5368</v>
      </c>
      <c r="L275" s="245">
        <v>1271208056</v>
      </c>
      <c r="M275" s="245">
        <v>825161254</v>
      </c>
      <c r="N275" s="244">
        <f t="shared" si="41"/>
        <v>2096369310</v>
      </c>
      <c r="O275" s="244">
        <f t="shared" si="42"/>
        <v>-7872492</v>
      </c>
      <c r="P275" s="244">
        <f>N275-N274-2000000</f>
        <v>-30818504</v>
      </c>
      <c r="Q275" s="229">
        <v>2000000</v>
      </c>
    </row>
    <row r="276" spans="4:23">
      <c r="I276" s="216" t="s">
        <v>5375</v>
      </c>
      <c r="J276" s="244">
        <f>L276-L275-15300000</f>
        <v>32802006</v>
      </c>
      <c r="K276" s="216" t="s">
        <v>5372</v>
      </c>
      <c r="L276" s="245">
        <v>1319310062</v>
      </c>
      <c r="M276" s="245">
        <v>846171439</v>
      </c>
      <c r="N276" s="244">
        <f t="shared" si="41"/>
        <v>2165481501</v>
      </c>
      <c r="O276" s="244">
        <f>M276-M275-200000</f>
        <v>20810185</v>
      </c>
      <c r="P276" s="244">
        <f>N276-N275-15500000</f>
        <v>53612191</v>
      </c>
      <c r="Q276" s="229">
        <v>15500000</v>
      </c>
    </row>
    <row r="277" spans="4:23">
      <c r="I277" s="216" t="s">
        <v>5378</v>
      </c>
      <c r="J277" s="244">
        <f>L277-L276-3000000</f>
        <v>12429762</v>
      </c>
      <c r="K277" s="216" t="s">
        <v>5377</v>
      </c>
      <c r="L277" s="245">
        <v>1334739824</v>
      </c>
      <c r="M277" s="245">
        <v>848815156</v>
      </c>
      <c r="N277" s="220">
        <f t="shared" si="41"/>
        <v>2183554980</v>
      </c>
      <c r="O277" s="244">
        <f>M277-M276-50000</f>
        <v>2593717</v>
      </c>
      <c r="P277" s="244">
        <f>N277-N276-3050000</f>
        <v>15023479</v>
      </c>
      <c r="Q277" s="229">
        <v>3050000</v>
      </c>
    </row>
    <row r="278" spans="4:23">
      <c r="I278" s="216" t="s">
        <v>5382</v>
      </c>
      <c r="J278" s="244">
        <f>L278-L277-1680000</f>
        <v>-15903030</v>
      </c>
      <c r="K278" s="216" t="s">
        <v>5380</v>
      </c>
      <c r="L278" s="245">
        <v>1320516794</v>
      </c>
      <c r="M278" s="245">
        <v>834312363</v>
      </c>
      <c r="N278" s="244">
        <f t="shared" si="41"/>
        <v>2154829157</v>
      </c>
      <c r="O278" s="244">
        <f>M278-M277-100000</f>
        <v>-14602793</v>
      </c>
      <c r="P278" s="244">
        <f>N278-N277-1600000</f>
        <v>-30325823</v>
      </c>
      <c r="Q278" s="229">
        <v>1780000</v>
      </c>
      <c r="S278" t="s">
        <v>25</v>
      </c>
    </row>
    <row r="279" spans="4:23">
      <c r="I279" s="216" t="s">
        <v>5384</v>
      </c>
      <c r="J279" s="244">
        <f>L279-L278-30000000</f>
        <v>3387493</v>
      </c>
      <c r="K279" s="216" t="s">
        <v>5383</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5390</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5391</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5394</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5397</v>
      </c>
      <c r="L284" s="84">
        <v>1473439379</v>
      </c>
      <c r="M284" s="84">
        <v>906774030</v>
      </c>
      <c r="N284" s="220">
        <f t="shared" si="45"/>
        <v>2380213409</v>
      </c>
      <c r="O284" s="113">
        <f t="shared" si="46"/>
        <v>14380845</v>
      </c>
      <c r="P284" s="113">
        <f t="shared" si="47"/>
        <v>32061881</v>
      </c>
      <c r="Q284" s="229">
        <v>0</v>
      </c>
    </row>
    <row r="285" spans="4:23">
      <c r="I285" s="189" t="s">
        <v>5400</v>
      </c>
      <c r="J285" s="188">
        <f t="shared" si="44"/>
        <v>4331396</v>
      </c>
      <c r="K285" s="189" t="s">
        <v>5398</v>
      </c>
      <c r="L285" s="237">
        <v>1477770775</v>
      </c>
      <c r="M285" s="237">
        <v>915475851</v>
      </c>
      <c r="N285" s="220">
        <f t="shared" si="45"/>
        <v>2393246626</v>
      </c>
      <c r="O285" s="188">
        <f>M285-M284+550000</f>
        <v>9251821</v>
      </c>
      <c r="P285" s="188">
        <f>N285-N284+550000</f>
        <v>13583217</v>
      </c>
      <c r="Q285" s="229">
        <v>-550000</v>
      </c>
    </row>
    <row r="286" spans="4:23">
      <c r="I286" s="189" t="s">
        <v>5405</v>
      </c>
      <c r="J286" s="188">
        <f t="shared" si="44"/>
        <v>39081054</v>
      </c>
      <c r="K286" s="189" t="s">
        <v>5403</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5404</v>
      </c>
      <c r="L287" s="84">
        <v>1560436105</v>
      </c>
      <c r="M287" s="84">
        <v>940791901</v>
      </c>
      <c r="N287" s="220">
        <f t="shared" si="45"/>
        <v>2501228006</v>
      </c>
      <c r="O287" s="113">
        <f t="shared" si="46"/>
        <v>35665189</v>
      </c>
      <c r="P287" s="113">
        <f t="shared" si="47"/>
        <v>79249465</v>
      </c>
      <c r="Q287" s="229">
        <v>0</v>
      </c>
    </row>
    <row r="288" spans="4:23">
      <c r="I288" s="189" t="s">
        <v>5416</v>
      </c>
      <c r="J288" s="188">
        <f t="shared" si="44"/>
        <v>83455296</v>
      </c>
      <c r="K288" s="189" t="s">
        <v>5415</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5418</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5423</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5429</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5438</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5461</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5460</v>
      </c>
      <c r="L294" s="84">
        <v>1775456973</v>
      </c>
      <c r="M294" s="84">
        <v>1056375788</v>
      </c>
      <c r="N294" s="220">
        <f t="shared" si="45"/>
        <v>2831832761</v>
      </c>
      <c r="O294" s="113">
        <f t="shared" si="46"/>
        <v>11375788</v>
      </c>
      <c r="P294" s="113">
        <f t="shared" si="47"/>
        <v>26832761</v>
      </c>
      <c r="Q294" s="229">
        <v>0</v>
      </c>
    </row>
    <row r="295" spans="9:21">
      <c r="I295" s="213" t="s">
        <v>5470</v>
      </c>
      <c r="J295" s="113">
        <f>L295-L294-3000000</f>
        <v>19422686</v>
      </c>
      <c r="K295" s="213" t="s">
        <v>5464</v>
      </c>
      <c r="L295" s="84">
        <v>1797879659</v>
      </c>
      <c r="M295" s="84">
        <v>1054864328</v>
      </c>
      <c r="N295" s="220">
        <f t="shared" si="45"/>
        <v>2852743987</v>
      </c>
      <c r="O295" s="113">
        <f t="shared" si="46"/>
        <v>-1511460</v>
      </c>
      <c r="P295" s="113">
        <f>N295-N294-3000000</f>
        <v>17911226</v>
      </c>
      <c r="Q295" s="229">
        <v>3000000</v>
      </c>
    </row>
    <row r="296" spans="9:21">
      <c r="I296" s="216" t="s">
        <v>5471</v>
      </c>
      <c r="J296" s="244">
        <f>L296-L295-7000000</f>
        <v>-47124934</v>
      </c>
      <c r="K296" s="216" t="s">
        <v>5465</v>
      </c>
      <c r="L296" s="245">
        <v>1757754725</v>
      </c>
      <c r="M296" s="245">
        <v>1037677810</v>
      </c>
      <c r="N296" s="244">
        <f t="shared" si="45"/>
        <v>2795432535</v>
      </c>
      <c r="O296" s="244">
        <f>M296-M295+4190000</f>
        <v>-12996518</v>
      </c>
      <c r="P296" s="244">
        <f>N296-N295+4190000-7000000</f>
        <v>-60121452</v>
      </c>
      <c r="Q296" s="229">
        <v>2810000</v>
      </c>
    </row>
    <row r="297" spans="9:21">
      <c r="I297" s="216" t="s">
        <v>5480</v>
      </c>
      <c r="J297" s="244">
        <f t="shared" si="44"/>
        <v>-53501669</v>
      </c>
      <c r="K297" s="216" t="s">
        <v>5473</v>
      </c>
      <c r="L297" s="245">
        <v>1704253056</v>
      </c>
      <c r="M297" s="245">
        <v>973497834</v>
      </c>
      <c r="N297" s="244">
        <f t="shared" si="45"/>
        <v>2677750890</v>
      </c>
      <c r="O297" s="244">
        <f>M297-M296+26000000</f>
        <v>-38179976</v>
      </c>
      <c r="P297" s="244">
        <f>N297-N296+26000000</f>
        <v>-91681645</v>
      </c>
      <c r="Q297" s="229">
        <v>-26000000</v>
      </c>
    </row>
    <row r="298" spans="9:21">
      <c r="I298" s="216" t="s">
        <v>5482</v>
      </c>
      <c r="J298" s="244">
        <f>L298-L297-8800000</f>
        <v>26691445</v>
      </c>
      <c r="K298" s="216" t="s">
        <v>5478</v>
      </c>
      <c r="L298" s="245">
        <v>1739744501</v>
      </c>
      <c r="M298" s="245">
        <v>914540569</v>
      </c>
      <c r="N298" s="244">
        <f t="shared" si="45"/>
        <v>2654285070</v>
      </c>
      <c r="O298" s="244">
        <f>M298-M297+81800000</f>
        <v>22842735</v>
      </c>
      <c r="P298" s="244">
        <f>N298-N297+73000000</f>
        <v>49534180</v>
      </c>
      <c r="Q298" s="229">
        <v>-73000000</v>
      </c>
    </row>
    <row r="299" spans="9:21">
      <c r="I299" s="216" t="s">
        <v>5487</v>
      </c>
      <c r="J299" s="244">
        <f t="shared" si="44"/>
        <v>32696702</v>
      </c>
      <c r="K299" s="216" t="s">
        <v>5479</v>
      </c>
      <c r="L299" s="245">
        <v>1772441203</v>
      </c>
      <c r="M299" s="245">
        <v>900025831</v>
      </c>
      <c r="N299" s="244">
        <f t="shared" si="45"/>
        <v>2672467034</v>
      </c>
      <c r="O299" s="244">
        <f>M299-M298+34000000</f>
        <v>19485262</v>
      </c>
      <c r="P299" s="244">
        <f>N299-N298+34000000</f>
        <v>52181964</v>
      </c>
      <c r="Q299" s="229">
        <v>-34000000</v>
      </c>
    </row>
    <row r="300" spans="9:21">
      <c r="I300" s="189" t="s">
        <v>5490</v>
      </c>
      <c r="J300" s="188">
        <f>L300-L299-40000000</f>
        <v>74215198</v>
      </c>
      <c r="K300" s="189" t="s">
        <v>5485</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5271</v>
      </c>
      <c r="J301" s="188">
        <f t="shared" si="44"/>
        <v>39912599</v>
      </c>
      <c r="K301" s="189" t="s">
        <v>5486</v>
      </c>
      <c r="L301" s="237">
        <v>1926569000</v>
      </c>
      <c r="M301" s="237">
        <v>959442000</v>
      </c>
      <c r="N301" s="220">
        <f t="shared" si="45"/>
        <v>2886011000</v>
      </c>
      <c r="O301" s="188">
        <f>M301-M300-300000</f>
        <v>21646377</v>
      </c>
      <c r="P301" s="188">
        <f>N301-N300-300000</f>
        <v>61558976</v>
      </c>
      <c r="Q301" s="229">
        <v>300000</v>
      </c>
    </row>
    <row r="302" spans="9:21">
      <c r="I302" s="189" t="s">
        <v>5497</v>
      </c>
      <c r="J302" s="188">
        <f t="shared" si="44"/>
        <v>-55865388</v>
      </c>
      <c r="K302" s="189" t="s">
        <v>5496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5499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5501</v>
      </c>
      <c r="L304" s="84">
        <v>1773000000</v>
      </c>
      <c r="M304" s="84">
        <v>879000000</v>
      </c>
      <c r="N304" s="113">
        <f t="shared" si="45"/>
        <v>2652000000</v>
      </c>
      <c r="O304" s="113">
        <f t="shared" si="46"/>
        <v>217170</v>
      </c>
      <c r="P304" s="113">
        <f t="shared" si="47"/>
        <v>-212651</v>
      </c>
      <c r="Q304" s="229">
        <v>0</v>
      </c>
    </row>
    <row r="305" spans="9:17">
      <c r="I305" s="213" t="s">
        <v>5503</v>
      </c>
      <c r="J305" s="113">
        <f>L305-L304-400000</f>
        <v>-400000</v>
      </c>
      <c r="K305" s="213" t="s">
        <v>5502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5512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5525</v>
      </c>
      <c r="L307" s="84">
        <v>1627606378</v>
      </c>
      <c r="M307" s="84">
        <v>802901457</v>
      </c>
      <c r="N307" s="113">
        <f t="shared" si="45"/>
        <v>2430507835</v>
      </c>
      <c r="O307" s="113">
        <f t="shared" si="46"/>
        <v>21798585</v>
      </c>
      <c r="P307" s="113">
        <f t="shared" si="47"/>
        <v>63329771</v>
      </c>
      <c r="Q307" s="229">
        <v>0</v>
      </c>
    </row>
    <row r="308" spans="9:17">
      <c r="I308" s="213" t="s">
        <v>5528</v>
      </c>
      <c r="J308" s="113">
        <f>L308-L307+968000</f>
        <v>30858637</v>
      </c>
      <c r="K308" s="213" t="s">
        <v>5527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5530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5533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5535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5536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5538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5541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5543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5545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5547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5548</v>
      </c>
      <c r="L318" s="84">
        <v>2260584534</v>
      </c>
      <c r="M318" s="84">
        <v>1120314374</v>
      </c>
      <c r="N318" s="220">
        <f t="shared" si="48"/>
        <v>3380898908</v>
      </c>
      <c r="O318" s="113">
        <f t="shared" si="49"/>
        <v>67266920</v>
      </c>
      <c r="P318" s="113">
        <f t="shared" si="50"/>
        <v>208542979</v>
      </c>
      <c r="Q318" s="229">
        <v>0</v>
      </c>
    </row>
    <row r="319" spans="9:17">
      <c r="I319" s="213" t="s">
        <v>5558</v>
      </c>
      <c r="J319" s="113">
        <f>L319-L318-3006000</f>
        <v>32865631</v>
      </c>
      <c r="K319" s="213" t="s">
        <v>5552</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5566</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5571</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5576</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5581</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5583</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5591</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5593</v>
      </c>
      <c r="L326" s="84">
        <v>2819979138</v>
      </c>
      <c r="M326" s="84">
        <v>1401539279</v>
      </c>
      <c r="N326" s="220">
        <f t="shared" si="48"/>
        <v>4221518417</v>
      </c>
      <c r="O326" s="113">
        <f t="shared" si="49"/>
        <v>13084171</v>
      </c>
      <c r="P326" s="113">
        <f t="shared" si="50"/>
        <v>39080100</v>
      </c>
      <c r="Q326" s="229">
        <v>0</v>
      </c>
    </row>
    <row r="327" spans="9:22">
      <c r="I327" s="213" t="s">
        <v>5602</v>
      </c>
      <c r="J327" s="113">
        <f>L327-L326+130382924</f>
        <v>36685298</v>
      </c>
      <c r="K327" s="213" t="s">
        <v>5601</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5596</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5606</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5609</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35">
        <f t="shared" si="51"/>
        <v>5389217087</v>
      </c>
      <c r="O331" s="113">
        <f t="shared" si="52"/>
        <v>85209359</v>
      </c>
      <c r="P331" s="113">
        <f t="shared" si="53"/>
        <v>256473178</v>
      </c>
      <c r="Q331" s="229">
        <v>0</v>
      </c>
    </row>
    <row r="332" spans="9:22">
      <c r="I332" s="213"/>
      <c r="J332" s="113">
        <f t="shared" si="44"/>
        <v>-3598695553</v>
      </c>
      <c r="K332" s="213"/>
      <c r="L332" s="84"/>
      <c r="M332" s="84"/>
      <c r="N332" s="113">
        <f t="shared" si="51"/>
        <v>0</v>
      </c>
      <c r="O332" s="113">
        <f t="shared" si="52"/>
        <v>-1790521534</v>
      </c>
      <c r="P332" s="113">
        <f t="shared" si="53"/>
        <v>-5389217087</v>
      </c>
    </row>
    <row r="333" spans="9:22">
      <c r="I333" s="213"/>
      <c r="J333" s="113">
        <f t="shared" si="44"/>
        <v>0</v>
      </c>
      <c r="K333" s="213"/>
      <c r="L333" s="84"/>
      <c r="M333" s="84"/>
      <c r="N333" s="113">
        <f t="shared" si="51"/>
        <v>0</v>
      </c>
      <c r="O333" s="113">
        <f t="shared" si="52"/>
        <v>0</v>
      </c>
      <c r="P333" s="113">
        <f t="shared" si="53"/>
        <v>0</v>
      </c>
    </row>
    <row r="334" spans="9:22">
      <c r="I334" s="213"/>
      <c r="J334" s="113">
        <f t="shared" si="44"/>
        <v>0</v>
      </c>
      <c r="K334" s="213"/>
      <c r="L334" s="84"/>
      <c r="M334" s="84"/>
      <c r="N334" s="113">
        <f t="shared" si="51"/>
        <v>0</v>
      </c>
      <c r="O334" s="113">
        <f t="shared" si="52"/>
        <v>0</v>
      </c>
      <c r="P334" s="113">
        <f t="shared" si="53"/>
        <v>0</v>
      </c>
    </row>
    <row r="335" spans="9:22">
      <c r="I335" s="213"/>
      <c r="J335" s="113">
        <f t="shared" si="44"/>
        <v>0</v>
      </c>
      <c r="K335" s="213"/>
      <c r="L335" s="84"/>
      <c r="M335" s="84"/>
      <c r="N335" s="113">
        <f t="shared" si="51"/>
        <v>0</v>
      </c>
      <c r="O335" s="113">
        <f t="shared" si="52"/>
        <v>0</v>
      </c>
      <c r="P335" s="113">
        <f t="shared" si="53"/>
        <v>0</v>
      </c>
    </row>
    <row r="336" spans="9:22">
      <c r="I336" s="213"/>
      <c r="J336" s="113">
        <f t="shared" si="44"/>
        <v>0</v>
      </c>
      <c r="K336" s="213"/>
      <c r="L336" s="84"/>
      <c r="M336" s="84"/>
      <c r="N336" s="113">
        <f t="shared" si="51"/>
        <v>0</v>
      </c>
      <c r="O336" s="113">
        <f t="shared" si="52"/>
        <v>0</v>
      </c>
      <c r="P336" s="113">
        <f t="shared" si="53"/>
        <v>0</v>
      </c>
    </row>
    <row r="337" spans="9:19">
      <c r="I337" s="213"/>
      <c r="J337" s="113">
        <f t="shared" si="44"/>
        <v>0</v>
      </c>
      <c r="K337" s="213"/>
      <c r="L337" s="84"/>
      <c r="M337" s="84"/>
      <c r="N337" s="113">
        <f t="shared" si="51"/>
        <v>0</v>
      </c>
      <c r="O337" s="113">
        <f t="shared" si="52"/>
        <v>0</v>
      </c>
      <c r="P337" s="113">
        <f t="shared" si="53"/>
        <v>0</v>
      </c>
    </row>
    <row r="338" spans="9:19">
      <c r="I338" s="213"/>
      <c r="J338" s="113">
        <f t="shared" si="44"/>
        <v>0</v>
      </c>
      <c r="K338" s="213"/>
      <c r="L338" s="84"/>
      <c r="M338" s="84"/>
      <c r="N338" s="113">
        <f t="shared" si="51"/>
        <v>0</v>
      </c>
      <c r="O338" s="113">
        <f t="shared" si="52"/>
        <v>0</v>
      </c>
      <c r="P338" s="113">
        <f t="shared" si="53"/>
        <v>0</v>
      </c>
    </row>
    <row r="339" spans="9:19">
      <c r="I339" s="213"/>
      <c r="J339" s="113">
        <f t="shared" si="44"/>
        <v>0</v>
      </c>
      <c r="K339" s="213"/>
      <c r="L339" s="84"/>
      <c r="M339" s="84"/>
      <c r="N339" s="113">
        <f t="shared" si="51"/>
        <v>0</v>
      </c>
      <c r="O339" s="113">
        <f t="shared" si="52"/>
        <v>0</v>
      </c>
      <c r="P339" s="113">
        <f t="shared" si="53"/>
        <v>0</v>
      </c>
    </row>
    <row r="340" spans="9:19">
      <c r="I340" s="213"/>
      <c r="J340" s="113">
        <f t="shared" si="44"/>
        <v>0</v>
      </c>
      <c r="K340" s="213"/>
      <c r="L340" s="84"/>
      <c r="M340" s="84"/>
      <c r="N340" s="113">
        <f t="shared" si="51"/>
        <v>0</v>
      </c>
      <c r="O340" s="113">
        <f t="shared" si="52"/>
        <v>0</v>
      </c>
      <c r="P340" s="113">
        <f t="shared" si="53"/>
        <v>0</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5435</v>
      </c>
      <c r="B1">
        <v>0.24</v>
      </c>
    </row>
    <row r="4" spans="1:21">
      <c r="A4" s="99" t="s">
        <v>3637</v>
      </c>
      <c r="B4" s="99" t="s">
        <v>180</v>
      </c>
      <c r="C4" s="99" t="s">
        <v>5439</v>
      </c>
      <c r="D4" s="99" t="s">
        <v>5440</v>
      </c>
      <c r="E4" s="99" t="s">
        <v>5447</v>
      </c>
      <c r="F4" s="99" t="s">
        <v>5441</v>
      </c>
      <c r="G4" s="99" t="s">
        <v>5442</v>
      </c>
      <c r="H4" s="99" t="s">
        <v>5443</v>
      </c>
      <c r="I4" s="99" t="s">
        <v>5444</v>
      </c>
      <c r="J4" s="99" t="s">
        <v>5445</v>
      </c>
      <c r="K4" s="99" t="s">
        <v>5446</v>
      </c>
      <c r="L4" s="99" t="s">
        <v>5434</v>
      </c>
      <c r="M4" s="99" t="s">
        <v>5436</v>
      </c>
      <c r="N4" s="99" t="s">
        <v>5437</v>
      </c>
      <c r="O4" s="99"/>
    </row>
    <row r="5" spans="1:21">
      <c r="A5" s="99">
        <v>0</v>
      </c>
      <c r="B5" s="99" t="s">
        <v>5433</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5438</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5461</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5460</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5464</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5448</v>
      </c>
      <c r="C52" s="284" t="s">
        <v>5449</v>
      </c>
      <c r="D52" s="284" t="s">
        <v>5450</v>
      </c>
      <c r="E52" s="284" t="s">
        <v>4263</v>
      </c>
      <c r="F52" s="284" t="s">
        <v>5451</v>
      </c>
      <c r="G52" s="284" t="s">
        <v>5452</v>
      </c>
      <c r="H52" s="284" t="s">
        <v>5453</v>
      </c>
      <c r="I52" s="284" t="s">
        <v>5454</v>
      </c>
      <c r="J52" s="284" t="s">
        <v>5455</v>
      </c>
      <c r="K52" s="284" t="s">
        <v>5456</v>
      </c>
      <c r="L52" s="284" t="s">
        <v>5457</v>
      </c>
      <c r="M52" s="284" t="s">
        <v>5458</v>
      </c>
      <c r="N52" s="284" t="s">
        <v>5459</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5419</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5413</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5401</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5392</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5430</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5448</v>
      </c>
      <c r="C64" s="284" t="s">
        <v>5449</v>
      </c>
      <c r="D64" s="284" t="s">
        <v>5450</v>
      </c>
      <c r="E64" s="284" t="s">
        <v>4263</v>
      </c>
      <c r="F64" s="284" t="s">
        <v>5451</v>
      </c>
      <c r="G64" s="284" t="s">
        <v>5452</v>
      </c>
      <c r="H64" s="284" t="s">
        <v>5453</v>
      </c>
      <c r="I64" s="284" t="s">
        <v>5454</v>
      </c>
      <c r="J64" s="284" t="s">
        <v>5455</v>
      </c>
      <c r="K64" s="284" t="s">
        <v>5456</v>
      </c>
      <c r="L64" s="284" t="s">
        <v>5457</v>
      </c>
      <c r="M64" s="284" t="s">
        <v>5458</v>
      </c>
      <c r="N64" s="284" t="s">
        <v>5459</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5419</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5401</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5392</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5430</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5214</v>
      </c>
      <c r="I31" s="11">
        <v>257000</v>
      </c>
      <c r="J31" s="11" t="s">
        <v>477</v>
      </c>
    </row>
    <row r="32" spans="2:21">
      <c r="G32" s="11">
        <f>$I$48-I32</f>
        <v>79000</v>
      </c>
      <c r="H32" s="59" t="s">
        <v>792</v>
      </c>
      <c r="I32" s="11">
        <v>185000</v>
      </c>
      <c r="J32" s="11" t="s">
        <v>558</v>
      </c>
    </row>
    <row r="33" spans="6:23">
      <c r="G33" s="11">
        <f t="shared" si="5"/>
        <v>33000</v>
      </c>
      <c r="H33" s="11" t="s">
        <v>5214</v>
      </c>
      <c r="I33" s="11">
        <v>231000</v>
      </c>
      <c r="J33" s="11" t="s">
        <v>566</v>
      </c>
    </row>
    <row r="34" spans="6:23">
      <c r="G34" s="11">
        <f t="shared" si="5"/>
        <v>7000</v>
      </c>
      <c r="H34" s="11" t="s">
        <v>5214</v>
      </c>
      <c r="I34" s="11">
        <v>257000</v>
      </c>
      <c r="J34" s="11" t="s">
        <v>567</v>
      </c>
    </row>
    <row r="35" spans="6:23">
      <c r="G35" s="11">
        <f t="shared" si="5"/>
        <v>7000</v>
      </c>
      <c r="H35" s="11" t="s">
        <v>5214</v>
      </c>
      <c r="I35" s="11">
        <v>257000</v>
      </c>
      <c r="J35" s="11" t="s">
        <v>568</v>
      </c>
    </row>
    <row r="36" spans="6:23">
      <c r="F36" t="s">
        <v>25</v>
      </c>
      <c r="G36" s="11">
        <f t="shared" si="5"/>
        <v>0</v>
      </c>
      <c r="H36" s="11" t="s">
        <v>5473</v>
      </c>
      <c r="I36" s="11">
        <v>264000</v>
      </c>
      <c r="J36" s="11" t="s">
        <v>641</v>
      </c>
      <c r="O36" s="22"/>
    </row>
    <row r="37" spans="6:23">
      <c r="G37" s="11">
        <f t="shared" si="5"/>
        <v>6000</v>
      </c>
      <c r="H37" s="11" t="s">
        <v>5258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5214</v>
      </c>
      <c r="I47" s="99">
        <v>257000</v>
      </c>
      <c r="J47" s="99" t="s">
        <v>5248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C3" sqref="C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5121</v>
      </c>
      <c r="D1" s="189" t="s">
        <v>5092</v>
      </c>
      <c r="E1" s="213" t="s">
        <v>5090</v>
      </c>
      <c r="F1" s="213" t="s">
        <v>5091</v>
      </c>
      <c r="G1" s="213" t="s">
        <v>4902</v>
      </c>
      <c r="H1" s="213" t="s">
        <v>4901</v>
      </c>
      <c r="I1" s="213" t="s">
        <v>4263</v>
      </c>
      <c r="J1" s="56" t="s">
        <v>5005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12000</v>
      </c>
      <c r="J2" s="197">
        <f>B2*I2/$M$2</f>
        <v>186.773934</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3280</v>
      </c>
      <c r="J3" s="191">
        <f>B3*I3/$M$2</f>
        <v>118.70576250000001</v>
      </c>
      <c r="N3">
        <f>N2/O2</f>
        <v>0.67428291627160497</v>
      </c>
    </row>
    <row r="4" spans="1:20">
      <c r="A4" s="191" t="s">
        <v>4896</v>
      </c>
      <c r="B4" s="191">
        <v>560000000</v>
      </c>
      <c r="C4" s="189">
        <v>30</v>
      </c>
      <c r="D4" s="189">
        <f t="shared" si="0"/>
        <v>0.23333333333333334</v>
      </c>
      <c r="E4" s="191">
        <v>25</v>
      </c>
      <c r="F4" s="191">
        <f>B4*E4/$M$2</f>
        <v>0.19444444444444445</v>
      </c>
      <c r="G4" s="191"/>
      <c r="H4" s="191"/>
      <c r="I4" s="191">
        <v>820</v>
      </c>
      <c r="J4" s="191">
        <f>B4*I4/$M$2</f>
        <v>6.3777777777777782</v>
      </c>
    </row>
    <row r="5" spans="1:20">
      <c r="A5" s="191" t="s">
        <v>4897</v>
      </c>
      <c r="B5" s="191">
        <v>30161250</v>
      </c>
      <c r="C5" s="189">
        <v>300</v>
      </c>
      <c r="D5" s="189">
        <f t="shared" si="0"/>
        <v>0.12567187499999999</v>
      </c>
      <c r="E5" s="191">
        <v>170</v>
      </c>
      <c r="F5" s="191">
        <f>B5*E5/$M$2</f>
        <v>7.1214062499999994E-2</v>
      </c>
      <c r="G5" s="191"/>
      <c r="H5" s="191"/>
      <c r="I5" s="191">
        <v>1330</v>
      </c>
      <c r="J5" s="191">
        <f>B5*I5/$M$2</f>
        <v>0.55714531249999999</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12000</v>
      </c>
      <c r="J7" s="197">
        <f>B7*I7*$N$3/$M$2</f>
        <v>126.39538228885202</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7000</v>
      </c>
      <c r="J8" s="191">
        <f t="shared" ref="J8:J15" si="4">B8*I8*$N$3/$M$2</f>
        <v>36.410044617909556</v>
      </c>
    </row>
    <row r="9" spans="1:20">
      <c r="A9" s="191" t="s">
        <v>4897</v>
      </c>
      <c r="B9" s="191">
        <v>4203087537</v>
      </c>
      <c r="C9" s="189">
        <v>300</v>
      </c>
      <c r="D9" s="189">
        <f t="shared" si="3"/>
        <v>11.808625507471655</v>
      </c>
      <c r="E9" s="191">
        <v>170</v>
      </c>
      <c r="F9" s="191">
        <f t="shared" si="1"/>
        <v>6.6915544542339385</v>
      </c>
      <c r="G9" s="191"/>
      <c r="H9" s="191">
        <f t="shared" si="2"/>
        <v>0</v>
      </c>
      <c r="I9" s="191">
        <f>I5</f>
        <v>1330</v>
      </c>
      <c r="J9" s="191">
        <f t="shared" si="4"/>
        <v>52.351573083124343</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5020</v>
      </c>
      <c r="J10" s="213">
        <f t="shared" si="4"/>
        <v>193.85735441080064</v>
      </c>
    </row>
    <row r="11" spans="1:20">
      <c r="A11" s="198" t="s">
        <v>4904</v>
      </c>
      <c r="B11" s="198">
        <v>2635379034</v>
      </c>
      <c r="C11" s="189">
        <v>300</v>
      </c>
      <c r="D11" s="189">
        <f t="shared" si="3"/>
        <v>7.4041294188606885</v>
      </c>
      <c r="E11" s="198">
        <v>0</v>
      </c>
      <c r="F11" s="198">
        <f t="shared" si="1"/>
        <v>0</v>
      </c>
      <c r="G11" s="198"/>
      <c r="H11" s="198">
        <f t="shared" si="2"/>
        <v>0</v>
      </c>
      <c r="I11" s="198">
        <v>2850</v>
      </c>
      <c r="J11" s="198">
        <f t="shared" si="4"/>
        <v>70.339229479176538</v>
      </c>
    </row>
    <row r="12" spans="1:20">
      <c r="A12" s="191" t="s">
        <v>4905</v>
      </c>
      <c r="B12" s="191">
        <v>4858308125</v>
      </c>
      <c r="C12" s="189">
        <v>300</v>
      </c>
      <c r="D12" s="189">
        <f t="shared" si="3"/>
        <v>13.649475711129305</v>
      </c>
      <c r="E12" s="191">
        <v>240</v>
      </c>
      <c r="F12" s="191">
        <f t="shared" si="1"/>
        <v>10.919580568903443</v>
      </c>
      <c r="G12" s="191"/>
      <c r="H12" s="191">
        <f t="shared" si="2"/>
        <v>0</v>
      </c>
      <c r="I12" s="191">
        <v>1440</v>
      </c>
      <c r="J12" s="191">
        <f t="shared" si="4"/>
        <v>65.517483413420663</v>
      </c>
      <c r="O12" t="s">
        <v>4988</v>
      </c>
    </row>
    <row r="13" spans="1:20">
      <c r="A13" s="191" t="s">
        <v>4906</v>
      </c>
      <c r="B13" s="191">
        <v>1630533748</v>
      </c>
      <c r="C13" s="189">
        <v>70</v>
      </c>
      <c r="D13" s="189">
        <f t="shared" si="3"/>
        <v>1.0689010214951349</v>
      </c>
      <c r="E13" s="191">
        <v>60</v>
      </c>
      <c r="F13" s="191">
        <f t="shared" si="1"/>
        <v>0.91620087556725849</v>
      </c>
      <c r="G13" s="191"/>
      <c r="H13" s="191">
        <f t="shared" si="2"/>
        <v>0</v>
      </c>
      <c r="I13" s="191">
        <v>1950</v>
      </c>
      <c r="J13" s="191">
        <f t="shared" si="4"/>
        <v>29.776528455935903</v>
      </c>
      <c r="O13" s="99" t="s">
        <v>180</v>
      </c>
      <c r="P13" s="99" t="s">
        <v>267</v>
      </c>
      <c r="Q13" s="99" t="s">
        <v>4986</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4978</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4700</v>
      </c>
      <c r="J15" s="191">
        <f t="shared" si="4"/>
        <v>10.42987105854877</v>
      </c>
      <c r="O15" s="99" t="s">
        <v>4985</v>
      </c>
      <c r="P15" s="18">
        <v>-500000</v>
      </c>
      <c r="Q15" s="99">
        <v>7</v>
      </c>
      <c r="R15" s="99"/>
      <c r="S15" s="96"/>
      <c r="T15" s="96"/>
    </row>
    <row r="16" spans="1:20">
      <c r="A16" s="213"/>
      <c r="B16" s="213"/>
      <c r="C16" s="213"/>
      <c r="D16" s="213"/>
      <c r="E16" s="213"/>
      <c r="F16" s="213">
        <f t="shared" si="1"/>
        <v>0</v>
      </c>
      <c r="G16" s="213"/>
      <c r="H16" s="213">
        <f t="shared" si="2"/>
        <v>0</v>
      </c>
      <c r="I16" s="213"/>
      <c r="J16" s="213">
        <v>222</v>
      </c>
      <c r="K16" t="s">
        <v>5588</v>
      </c>
      <c r="O16" s="99" t="s">
        <v>4995</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5589</v>
      </c>
      <c r="O17" s="99" t="s">
        <v>5000</v>
      </c>
      <c r="P17" s="18">
        <v>2000000</v>
      </c>
      <c r="Q17" s="99">
        <v>6</v>
      </c>
      <c r="R17" s="99"/>
      <c r="S17" s="96"/>
      <c r="T17" s="96"/>
    </row>
    <row r="18" spans="1:22">
      <c r="A18" s="213"/>
      <c r="B18" s="213"/>
      <c r="C18" s="213"/>
      <c r="D18" s="213"/>
      <c r="E18" s="213"/>
      <c r="F18" s="213">
        <f t="shared" si="1"/>
        <v>0</v>
      </c>
      <c r="G18" s="213"/>
      <c r="H18" s="213">
        <f t="shared" si="2"/>
        <v>0</v>
      </c>
      <c r="I18" s="213"/>
      <c r="J18" s="213">
        <v>200</v>
      </c>
      <c r="K18" t="s">
        <v>5590</v>
      </c>
      <c r="O18" s="99" t="s">
        <v>5017</v>
      </c>
      <c r="P18" s="18">
        <v>1000000</v>
      </c>
      <c r="Q18" s="99">
        <v>3</v>
      </c>
      <c r="R18" s="99"/>
      <c r="S18" s="96"/>
      <c r="T18" s="96"/>
    </row>
    <row r="19" spans="1:22">
      <c r="A19" s="213"/>
      <c r="B19" s="213"/>
      <c r="C19" s="213"/>
      <c r="D19" s="213"/>
      <c r="E19" s="213"/>
      <c r="F19" s="213">
        <f t="shared" si="1"/>
        <v>0</v>
      </c>
      <c r="G19" s="213"/>
      <c r="H19" s="213">
        <f t="shared" si="2"/>
        <v>0</v>
      </c>
      <c r="I19" s="213"/>
      <c r="J19" s="213"/>
      <c r="O19" s="99" t="s">
        <v>5029</v>
      </c>
      <c r="P19" s="18">
        <v>200000</v>
      </c>
      <c r="Q19" s="99">
        <v>3</v>
      </c>
      <c r="R19" s="99"/>
      <c r="S19" s="96"/>
      <c r="T19" s="96"/>
    </row>
    <row r="20" spans="1:22">
      <c r="A20" s="213"/>
      <c r="B20" s="213"/>
      <c r="C20" s="213"/>
      <c r="D20" s="213"/>
      <c r="E20" s="213"/>
      <c r="F20" s="213"/>
      <c r="G20" s="213"/>
      <c r="H20" s="213"/>
      <c r="I20" s="213"/>
      <c r="J20" s="213"/>
      <c r="L20" t="s">
        <v>25</v>
      </c>
      <c r="O20" s="99" t="s">
        <v>5032</v>
      </c>
      <c r="P20" s="18">
        <v>-3200000</v>
      </c>
      <c r="Q20" s="99">
        <v>6</v>
      </c>
      <c r="R20" s="99"/>
      <c r="S20" s="96"/>
      <c r="T20" s="96"/>
    </row>
    <row r="21" spans="1:22">
      <c r="A21" s="213"/>
      <c r="B21" s="213"/>
      <c r="C21" s="213"/>
      <c r="D21" s="213">
        <f>SUM(D2:D15)</f>
        <v>105.84638461817181</v>
      </c>
      <c r="E21" s="213"/>
      <c r="F21" s="213">
        <f>SUM(F2:F15)</f>
        <v>67.01414987367194</v>
      </c>
      <c r="G21" s="213"/>
      <c r="H21" s="213"/>
      <c r="I21" s="213"/>
      <c r="J21" s="213">
        <f>SUM(J2:J19)</f>
        <v>1529.5361731220064</v>
      </c>
      <c r="K21">
        <f>J21*0.8</f>
        <v>1223.6289384976051</v>
      </c>
      <c r="O21" s="99" t="s">
        <v>5045</v>
      </c>
      <c r="P21" s="18">
        <v>6000000</v>
      </c>
      <c r="Q21" s="99">
        <v>1</v>
      </c>
      <c r="R21" s="99"/>
      <c r="S21" s="96"/>
      <c r="T21" s="96"/>
    </row>
    <row r="22" spans="1:22">
      <c r="A22" s="213"/>
      <c r="B22" s="213"/>
      <c r="C22" s="213"/>
      <c r="D22" s="213" t="s">
        <v>6</v>
      </c>
      <c r="E22" s="213"/>
      <c r="F22" s="213" t="s">
        <v>6</v>
      </c>
      <c r="G22" s="213"/>
      <c r="H22" s="213"/>
      <c r="I22" s="213"/>
      <c r="J22" s="213" t="s">
        <v>4471</v>
      </c>
      <c r="O22" s="99" t="s">
        <v>5046</v>
      </c>
      <c r="P22" s="18">
        <v>2000000</v>
      </c>
      <c r="Q22" s="99">
        <v>3</v>
      </c>
      <c r="R22" s="99"/>
      <c r="S22" s="96"/>
      <c r="T22" s="96"/>
    </row>
    <row r="23" spans="1:22">
      <c r="A23" s="213"/>
      <c r="B23" s="213"/>
      <c r="C23" s="213"/>
      <c r="D23" s="213"/>
      <c r="E23" s="213"/>
      <c r="F23" s="213"/>
      <c r="G23" s="213"/>
      <c r="H23" s="213">
        <v>820</v>
      </c>
      <c r="I23" s="213">
        <f>H23/J21</f>
        <v>0.53611023682183367</v>
      </c>
      <c r="J23" s="213"/>
      <c r="O23" s="99" t="s">
        <v>5053</v>
      </c>
      <c r="P23" s="18">
        <v>-50000</v>
      </c>
      <c r="Q23" s="99">
        <v>7</v>
      </c>
      <c r="R23" s="99"/>
      <c r="S23" s="96"/>
      <c r="T23" s="96"/>
    </row>
    <row r="24" spans="1:22">
      <c r="A24" s="213"/>
      <c r="B24" s="213"/>
      <c r="C24" s="213"/>
      <c r="D24" s="213"/>
      <c r="E24" s="213"/>
      <c r="F24" s="213"/>
      <c r="G24" s="213"/>
      <c r="H24" s="213" t="s">
        <v>5119</v>
      </c>
      <c r="I24" s="213" t="s">
        <v>5120</v>
      </c>
      <c r="J24" s="213"/>
      <c r="O24" s="99" t="s">
        <v>5059</v>
      </c>
      <c r="P24" s="18">
        <v>-2480000</v>
      </c>
      <c r="Q24" s="99">
        <v>5</v>
      </c>
      <c r="R24" s="99"/>
      <c r="S24" s="96"/>
      <c r="T24" s="96"/>
      <c r="V24" t="s">
        <v>25</v>
      </c>
    </row>
    <row r="25" spans="1:22">
      <c r="O25" s="99" t="s">
        <v>5067</v>
      </c>
      <c r="P25" s="18">
        <v>300000</v>
      </c>
      <c r="Q25" s="99">
        <v>1</v>
      </c>
      <c r="R25" s="99"/>
      <c r="S25" s="96"/>
      <c r="T25" s="96"/>
    </row>
    <row r="26" spans="1:22">
      <c r="O26" s="99" t="s">
        <v>4227</v>
      </c>
      <c r="P26" s="18">
        <v>300000</v>
      </c>
      <c r="Q26" s="99">
        <v>6</v>
      </c>
      <c r="R26" s="99"/>
      <c r="S26" s="96"/>
      <c r="T26" s="96"/>
    </row>
    <row r="27" spans="1:22">
      <c r="O27" s="99" t="s">
        <v>5076</v>
      </c>
      <c r="P27" s="18">
        <v>500000</v>
      </c>
      <c r="Q27" s="99">
        <v>2</v>
      </c>
      <c r="R27" s="99"/>
      <c r="S27" s="96"/>
      <c r="T27" s="96"/>
    </row>
    <row r="28" spans="1:22">
      <c r="C28" s="96" t="s">
        <v>5189</v>
      </c>
      <c r="D28" s="96" t="s">
        <v>5195</v>
      </c>
      <c r="E28" t="s">
        <v>5196</v>
      </c>
      <c r="F28" t="s">
        <v>5198</v>
      </c>
      <c r="G28" t="s">
        <v>5199</v>
      </c>
      <c r="O28" s="99" t="s">
        <v>5082</v>
      </c>
      <c r="P28" s="18">
        <v>100000</v>
      </c>
      <c r="Q28" s="99">
        <v>1</v>
      </c>
      <c r="R28" s="99"/>
      <c r="S28" s="96"/>
      <c r="T28" s="96"/>
    </row>
    <row r="29" spans="1:22">
      <c r="C29" s="96" t="s">
        <v>5194</v>
      </c>
      <c r="D29" s="96">
        <v>1306</v>
      </c>
      <c r="E29">
        <v>0.53500000000000003</v>
      </c>
      <c r="F29">
        <f>D29*E29*$D$40</f>
        <v>698710000</v>
      </c>
      <c r="G29">
        <f>F29*11400/1000000000</f>
        <v>7965.2939999999999</v>
      </c>
      <c r="J29" t="s">
        <v>25</v>
      </c>
      <c r="O29" s="99" t="s">
        <v>5083</v>
      </c>
      <c r="P29" s="18">
        <v>-6423626</v>
      </c>
      <c r="Q29" s="99">
        <v>1</v>
      </c>
      <c r="R29" s="99"/>
      <c r="S29" s="96"/>
      <c r="T29" s="96"/>
    </row>
    <row r="30" spans="1:22">
      <c r="B30" s="96"/>
      <c r="C30" s="96" t="s">
        <v>5200</v>
      </c>
      <c r="D30" s="96">
        <v>10</v>
      </c>
      <c r="E30" s="96">
        <v>0.5</v>
      </c>
      <c r="F30" s="96">
        <f t="shared" ref="F30:F31" si="5">D30*E30*$D$40</f>
        <v>5000000</v>
      </c>
      <c r="G30" s="96">
        <f t="shared" ref="G30:G35" si="6">F30*11400/1000000000</f>
        <v>57</v>
      </c>
      <c r="O30" s="99" t="s">
        <v>5086</v>
      </c>
      <c r="P30" s="18">
        <v>-4592486</v>
      </c>
      <c r="Q30" s="99">
        <v>0</v>
      </c>
      <c r="R30" s="99"/>
      <c r="S30" s="96"/>
      <c r="T30" s="96"/>
      <c r="V30" t="s">
        <v>25</v>
      </c>
    </row>
    <row r="31" spans="1:22">
      <c r="B31" s="96"/>
      <c r="C31" s="96" t="s">
        <v>5201</v>
      </c>
      <c r="D31" s="96">
        <v>492</v>
      </c>
      <c r="E31" s="96">
        <v>0.65</v>
      </c>
      <c r="F31" s="96">
        <f t="shared" si="5"/>
        <v>319800000</v>
      </c>
      <c r="G31" s="96">
        <f t="shared" si="6"/>
        <v>3645.72</v>
      </c>
      <c r="J31" t="s">
        <v>25</v>
      </c>
      <c r="O31" s="99" t="s">
        <v>5086</v>
      </c>
      <c r="P31" s="18">
        <v>4346112</v>
      </c>
      <c r="Q31" s="99">
        <v>11</v>
      </c>
      <c r="R31" s="99"/>
      <c r="S31" s="96"/>
      <c r="T31" s="96"/>
    </row>
    <row r="32" spans="1:22">
      <c r="B32" s="96"/>
      <c r="C32" s="96" t="s">
        <v>5202</v>
      </c>
      <c r="D32" s="96">
        <v>235</v>
      </c>
      <c r="E32" s="96">
        <v>1</v>
      </c>
      <c r="F32" s="96">
        <f t="shared" ref="F32:F35" si="7">D32*E32*$D$40</f>
        <v>235000000</v>
      </c>
      <c r="G32" s="96">
        <f t="shared" si="6"/>
        <v>2679</v>
      </c>
      <c r="O32" s="99" t="s">
        <v>5103</v>
      </c>
      <c r="P32" s="18">
        <v>1500000</v>
      </c>
      <c r="Q32" s="99">
        <v>16</v>
      </c>
      <c r="R32" s="99"/>
      <c r="S32" s="96"/>
      <c r="T32" s="96"/>
    </row>
    <row r="33" spans="1:22">
      <c r="A33" s="96"/>
      <c r="B33" s="96"/>
      <c r="C33" s="96" t="s">
        <v>5203</v>
      </c>
      <c r="D33" s="96">
        <v>500</v>
      </c>
      <c r="E33" s="96">
        <v>0.6</v>
      </c>
      <c r="F33" s="96">
        <f t="shared" si="7"/>
        <v>300000000</v>
      </c>
      <c r="G33" s="96">
        <f t="shared" si="6"/>
        <v>3420</v>
      </c>
      <c r="O33" s="99" t="s">
        <v>5089</v>
      </c>
      <c r="P33" s="18">
        <v>6000000</v>
      </c>
      <c r="Q33" s="99">
        <v>8</v>
      </c>
      <c r="R33" s="99"/>
      <c r="S33" s="96"/>
      <c r="T33" s="96"/>
    </row>
    <row r="34" spans="1:22">
      <c r="A34" s="96"/>
      <c r="B34" s="96"/>
      <c r="C34" s="96" t="s">
        <v>5204</v>
      </c>
      <c r="D34" s="96">
        <v>903</v>
      </c>
      <c r="E34" s="96">
        <v>1</v>
      </c>
      <c r="F34" s="96">
        <f t="shared" si="7"/>
        <v>903000000</v>
      </c>
      <c r="G34" s="96">
        <f t="shared" si="6"/>
        <v>10294.200000000001</v>
      </c>
      <c r="O34" s="99" t="s">
        <v>5144</v>
      </c>
      <c r="P34" s="18">
        <v>-50000</v>
      </c>
      <c r="Q34" s="99">
        <v>3</v>
      </c>
      <c r="R34" s="99"/>
      <c r="S34" s="96"/>
      <c r="T34" s="96"/>
    </row>
    <row r="35" spans="1:22">
      <c r="A35" s="96"/>
      <c r="B35" s="96"/>
      <c r="E35" s="96"/>
      <c r="F35" s="96">
        <f t="shared" si="7"/>
        <v>0</v>
      </c>
      <c r="G35" s="96">
        <f t="shared" si="6"/>
        <v>0</v>
      </c>
      <c r="O35" s="99" t="s">
        <v>5147</v>
      </c>
      <c r="P35" s="18">
        <v>-20000</v>
      </c>
      <c r="Q35" s="99">
        <v>7</v>
      </c>
      <c r="R35" s="99"/>
      <c r="S35" s="96"/>
      <c r="T35" s="96"/>
    </row>
    <row r="36" spans="1:22">
      <c r="A36" s="96"/>
      <c r="B36" s="96"/>
      <c r="E36" s="96"/>
      <c r="F36" s="96"/>
      <c r="G36" s="96"/>
      <c r="N36" t="s">
        <v>25</v>
      </c>
      <c r="O36" s="99" t="s">
        <v>5105</v>
      </c>
      <c r="P36" s="18">
        <v>6000000</v>
      </c>
      <c r="Q36" s="99">
        <v>1</v>
      </c>
      <c r="R36" s="99"/>
      <c r="S36" s="96"/>
      <c r="T36" s="96"/>
      <c r="V36" t="s">
        <v>25</v>
      </c>
    </row>
    <row r="37" spans="1:22">
      <c r="A37" s="96"/>
      <c r="B37" s="96"/>
      <c r="E37" s="96"/>
      <c r="F37" s="96"/>
      <c r="G37" s="96"/>
      <c r="O37" s="99" t="s">
        <v>5165</v>
      </c>
      <c r="P37" s="18">
        <v>-2302282</v>
      </c>
      <c r="Q37" s="99">
        <v>6</v>
      </c>
      <c r="R37" s="99"/>
      <c r="S37" s="96"/>
      <c r="T37" s="96"/>
    </row>
    <row r="38" spans="1:22">
      <c r="A38" s="96"/>
      <c r="B38" s="96"/>
      <c r="E38" s="96"/>
      <c r="F38" s="96"/>
      <c r="O38" s="99" t="s">
        <v>5171</v>
      </c>
      <c r="P38" s="18">
        <v>100000</v>
      </c>
      <c r="Q38" s="99">
        <v>1</v>
      </c>
      <c r="R38" s="99"/>
      <c r="S38" s="96"/>
      <c r="T38" s="96"/>
    </row>
    <row r="39" spans="1:22">
      <c r="A39" s="96"/>
      <c r="B39" s="96"/>
      <c r="C39" s="96" t="s">
        <v>5190</v>
      </c>
      <c r="D39" s="96" t="s">
        <v>5191</v>
      </c>
      <c r="E39" s="96"/>
      <c r="F39" s="96"/>
      <c r="O39" s="99" t="s">
        <v>5174</v>
      </c>
      <c r="P39" s="18">
        <v>-1727718</v>
      </c>
      <c r="Q39" s="99">
        <v>2</v>
      </c>
      <c r="R39" s="99"/>
      <c r="S39" s="96"/>
      <c r="T39" s="96"/>
      <c r="V39" t="s">
        <v>25</v>
      </c>
    </row>
    <row r="40" spans="1:22">
      <c r="A40" s="96"/>
      <c r="B40" s="96"/>
      <c r="C40" s="96" t="s">
        <v>5197</v>
      </c>
      <c r="D40" s="96">
        <v>1000000</v>
      </c>
      <c r="E40" s="96"/>
      <c r="F40" s="96"/>
      <c r="O40" s="99" t="s">
        <v>5178</v>
      </c>
      <c r="P40" s="18">
        <v>-1000000</v>
      </c>
      <c r="Q40" s="99">
        <v>0</v>
      </c>
      <c r="R40" s="99"/>
      <c r="S40" s="96"/>
      <c r="T40" s="96"/>
    </row>
    <row r="41" spans="1:22">
      <c r="A41" s="96"/>
      <c r="B41" s="96"/>
      <c r="C41" s="96" t="s">
        <v>5192</v>
      </c>
      <c r="D41" s="96" t="s">
        <v>5193</v>
      </c>
      <c r="E41" s="96"/>
      <c r="F41" s="96"/>
      <c r="O41" s="99" t="s">
        <v>5178</v>
      </c>
      <c r="P41" s="18">
        <v>-439200</v>
      </c>
      <c r="Q41" s="99">
        <v>1</v>
      </c>
      <c r="R41" s="99"/>
      <c r="S41" s="96"/>
      <c r="T41" s="96"/>
    </row>
    <row r="42" spans="1:22">
      <c r="A42" s="96"/>
      <c r="B42" s="96"/>
      <c r="E42" s="96"/>
      <c r="F42" s="96"/>
      <c r="O42" s="99" t="s">
        <v>5183</v>
      </c>
      <c r="P42" s="18">
        <v>-3631879</v>
      </c>
      <c r="Q42" s="99">
        <v>3</v>
      </c>
      <c r="R42" s="99"/>
      <c r="S42" s="96"/>
      <c r="T42" s="96"/>
    </row>
    <row r="43" spans="1:22">
      <c r="A43" s="96"/>
      <c r="B43" s="96"/>
      <c r="E43" s="96"/>
      <c r="F43" s="96"/>
      <c r="O43" s="99" t="s">
        <v>5208</v>
      </c>
      <c r="P43" s="18">
        <v>-2428921</v>
      </c>
      <c r="Q43" s="99">
        <v>9</v>
      </c>
      <c r="R43" s="99"/>
      <c r="S43" s="96"/>
      <c r="T43" s="96"/>
    </row>
    <row r="44" spans="1:22">
      <c r="A44" s="96"/>
      <c r="B44" s="96"/>
      <c r="E44" s="96"/>
      <c r="F44" s="96"/>
      <c r="O44" s="99" t="s">
        <v>5229</v>
      </c>
      <c r="P44" s="18">
        <v>-500000</v>
      </c>
      <c r="Q44" s="99">
        <v>1</v>
      </c>
      <c r="R44" s="99"/>
      <c r="S44" s="96"/>
      <c r="T44" s="96"/>
    </row>
    <row r="45" spans="1:22">
      <c r="A45" s="96"/>
      <c r="B45" s="96"/>
      <c r="E45" s="96"/>
      <c r="F45" s="96"/>
      <c r="O45" s="99" t="s">
        <v>5230</v>
      </c>
      <c r="P45" s="18">
        <v>-2603</v>
      </c>
      <c r="Q45" s="99">
        <v>0</v>
      </c>
      <c r="R45" s="99" t="s">
        <v>5231</v>
      </c>
      <c r="S45" s="96"/>
      <c r="T45" s="96"/>
    </row>
    <row r="46" spans="1:22">
      <c r="A46" s="96"/>
      <c r="B46" s="96" t="s">
        <v>4892</v>
      </c>
      <c r="C46" s="96" t="s">
        <v>4263</v>
      </c>
      <c r="D46" s="96" t="s">
        <v>4453</v>
      </c>
      <c r="E46" s="96" t="s">
        <v>5195</v>
      </c>
      <c r="F46" s="96" t="s">
        <v>5565</v>
      </c>
      <c r="O46" s="99" t="s">
        <v>5230</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5246</v>
      </c>
      <c r="P48" s="18">
        <v>300000</v>
      </c>
      <c r="Q48" s="99">
        <v>3</v>
      </c>
      <c r="R48" s="99"/>
      <c r="S48" s="96"/>
      <c r="T48" s="96"/>
    </row>
    <row r="49" spans="1:21">
      <c r="A49" s="96"/>
      <c r="B49" s="96"/>
      <c r="E49" s="96"/>
      <c r="F49" s="96"/>
      <c r="O49" s="99" t="s">
        <v>5253</v>
      </c>
      <c r="P49" s="18">
        <v>-50000</v>
      </c>
      <c r="Q49" s="99">
        <v>3</v>
      </c>
      <c r="R49" s="99"/>
      <c r="S49" s="96"/>
      <c r="T49" s="96"/>
    </row>
    <row r="50" spans="1:21">
      <c r="A50" s="96"/>
      <c r="B50" s="96"/>
      <c r="E50" s="96"/>
      <c r="F50" s="96"/>
      <c r="O50" s="99" t="s">
        <v>5258</v>
      </c>
      <c r="P50" s="18">
        <v>-1683146</v>
      </c>
      <c r="Q50" s="99">
        <v>10</v>
      </c>
      <c r="R50" s="99"/>
      <c r="S50" s="96"/>
      <c r="T50" s="96"/>
    </row>
    <row r="51" spans="1:21">
      <c r="A51" s="96"/>
      <c r="B51" s="96"/>
      <c r="E51" s="96"/>
      <c r="F51" s="96"/>
      <c r="O51" s="99" t="s">
        <v>5272</v>
      </c>
      <c r="P51" s="18">
        <v>700000</v>
      </c>
      <c r="Q51" s="99">
        <v>18</v>
      </c>
      <c r="R51" s="99"/>
      <c r="S51" s="96"/>
      <c r="T51" s="96"/>
    </row>
    <row r="52" spans="1:21">
      <c r="A52" s="96"/>
      <c r="B52" s="96"/>
      <c r="E52" s="96"/>
      <c r="F52" s="96"/>
      <c r="O52" s="99" t="s">
        <v>5287</v>
      </c>
      <c r="P52" s="18">
        <v>-700000</v>
      </c>
      <c r="Q52" s="99">
        <v>46</v>
      </c>
      <c r="R52" s="99"/>
    </row>
    <row r="53" spans="1:21">
      <c r="A53" s="96"/>
      <c r="B53" s="96"/>
      <c r="E53" s="96"/>
      <c r="F53" s="96"/>
      <c r="K53" t="s">
        <v>25</v>
      </c>
      <c r="O53" s="99" t="s">
        <v>5338</v>
      </c>
      <c r="P53" s="18">
        <v>1000000</v>
      </c>
      <c r="Q53" s="99">
        <v>4</v>
      </c>
      <c r="R53" s="99"/>
    </row>
    <row r="54" spans="1:21">
      <c r="A54" s="96"/>
      <c r="B54" s="96"/>
      <c r="E54" s="96"/>
      <c r="F54" s="96"/>
      <c r="O54" s="99" t="s">
        <v>5342</v>
      </c>
      <c r="P54" s="18">
        <v>1500000</v>
      </c>
      <c r="Q54" s="99">
        <v>1</v>
      </c>
      <c r="R54" s="99"/>
    </row>
    <row r="55" spans="1:21">
      <c r="A55" s="96"/>
      <c r="B55" s="96"/>
      <c r="E55" s="96"/>
      <c r="F55" s="96"/>
      <c r="O55" s="99" t="s">
        <v>5343</v>
      </c>
      <c r="P55" s="18">
        <v>-1500000</v>
      </c>
      <c r="Q55" s="99">
        <v>15</v>
      </c>
      <c r="R55" s="99"/>
    </row>
    <row r="56" spans="1:21">
      <c r="A56" s="96"/>
      <c r="B56" s="96"/>
      <c r="E56" s="96"/>
      <c r="F56" s="96"/>
      <c r="O56" s="99" t="s">
        <v>5377</v>
      </c>
      <c r="P56" s="18">
        <v>-100000</v>
      </c>
      <c r="Q56" s="99">
        <v>5</v>
      </c>
      <c r="R56" s="99"/>
    </row>
    <row r="57" spans="1:21">
      <c r="A57" s="96"/>
      <c r="B57" s="96"/>
      <c r="E57" s="96"/>
      <c r="F57" s="96"/>
      <c r="O57" s="99" t="s">
        <v>5383</v>
      </c>
      <c r="P57" s="18">
        <v>1164690</v>
      </c>
      <c r="Q57" s="99">
        <v>4</v>
      </c>
      <c r="R57" s="99"/>
      <c r="S57" t="s">
        <v>25</v>
      </c>
    </row>
    <row r="58" spans="1:21">
      <c r="A58" s="96"/>
      <c r="B58" s="96"/>
      <c r="E58" s="96"/>
      <c r="F58" s="96"/>
      <c r="O58" s="99" t="s">
        <v>5393</v>
      </c>
      <c r="P58" s="18">
        <v>1000000</v>
      </c>
      <c r="Q58" s="99">
        <v>4</v>
      </c>
      <c r="R58" s="99"/>
    </row>
    <row r="59" spans="1:21">
      <c r="A59" s="96"/>
      <c r="B59" s="96"/>
      <c r="E59" s="96"/>
      <c r="F59" s="96"/>
      <c r="O59" s="99" t="s">
        <v>5398</v>
      </c>
      <c r="P59" s="18">
        <v>-264690</v>
      </c>
      <c r="Q59" s="99">
        <v>7</v>
      </c>
      <c r="R59" s="99"/>
    </row>
    <row r="60" spans="1:21">
      <c r="A60" s="96"/>
      <c r="B60" s="96"/>
      <c r="E60" s="96"/>
      <c r="F60" s="96"/>
      <c r="N60" t="s">
        <v>25</v>
      </c>
      <c r="O60" s="99" t="s">
        <v>5418</v>
      </c>
      <c r="P60" s="18">
        <v>2700000</v>
      </c>
      <c r="Q60" s="99">
        <v>0</v>
      </c>
      <c r="R60" s="99"/>
    </row>
    <row r="61" spans="1:21">
      <c r="A61" s="96"/>
      <c r="B61" s="96"/>
      <c r="E61" s="96"/>
      <c r="F61" s="96"/>
      <c r="O61" s="99" t="s">
        <v>5418</v>
      </c>
      <c r="P61" s="18">
        <v>-1000000</v>
      </c>
      <c r="Q61" s="99">
        <v>1</v>
      </c>
      <c r="R61" s="99" t="s">
        <v>5421</v>
      </c>
    </row>
    <row r="62" spans="1:21">
      <c r="A62" s="96"/>
      <c r="B62" s="96"/>
      <c r="E62" s="96"/>
      <c r="F62" s="96"/>
      <c r="O62" s="99" t="s">
        <v>5423</v>
      </c>
      <c r="P62" s="18">
        <v>-75616</v>
      </c>
      <c r="Q62" s="99">
        <v>2</v>
      </c>
      <c r="R62" s="99" t="s">
        <v>5424</v>
      </c>
    </row>
    <row r="63" spans="1:21">
      <c r="A63" s="96"/>
      <c r="B63" s="96"/>
      <c r="E63" s="96"/>
      <c r="F63" s="96"/>
      <c r="O63" s="99" t="s">
        <v>975</v>
      </c>
      <c r="P63" s="18">
        <v>-2424384</v>
      </c>
      <c r="Q63" s="99">
        <v>2</v>
      </c>
      <c r="R63" s="99"/>
      <c r="U63" t="s">
        <v>25</v>
      </c>
    </row>
    <row r="64" spans="1:21">
      <c r="A64" s="96"/>
      <c r="B64" s="96"/>
      <c r="E64" s="96"/>
      <c r="F64" s="96"/>
      <c r="O64" s="99" t="s">
        <v>5438</v>
      </c>
      <c r="P64" s="18">
        <v>-2000000</v>
      </c>
      <c r="Q64" s="99">
        <v>6</v>
      </c>
      <c r="R64" s="99"/>
    </row>
    <row r="65" spans="1:21">
      <c r="A65" s="96"/>
      <c r="B65" s="96"/>
      <c r="E65" s="96"/>
      <c r="F65" s="96"/>
      <c r="O65" s="99" t="s">
        <v>5475</v>
      </c>
      <c r="P65" s="18">
        <v>2500000</v>
      </c>
      <c r="Q65" s="99">
        <v>1</v>
      </c>
      <c r="R65" s="99"/>
    </row>
    <row r="66" spans="1:21">
      <c r="A66" s="96"/>
      <c r="B66" s="96"/>
      <c r="E66" s="96"/>
      <c r="F66" s="96"/>
      <c r="O66" s="99" t="s">
        <v>5478</v>
      </c>
      <c r="P66" s="18">
        <v>3000000</v>
      </c>
      <c r="Q66" s="99">
        <v>3</v>
      </c>
      <c r="R66" s="99"/>
    </row>
    <row r="67" spans="1:21">
      <c r="A67" s="96"/>
      <c r="B67" s="96"/>
      <c r="E67" s="96"/>
      <c r="F67" s="96"/>
      <c r="O67" s="99" t="s">
        <v>5486</v>
      </c>
      <c r="P67" s="18">
        <v>-300000</v>
      </c>
      <c r="Q67" s="99">
        <v>5</v>
      </c>
      <c r="R67" s="99"/>
    </row>
    <row r="68" spans="1:21">
      <c r="A68" s="96"/>
      <c r="B68" s="96"/>
      <c r="E68" s="96"/>
      <c r="F68" s="96"/>
      <c r="O68" s="99" t="s">
        <v>5499</v>
      </c>
      <c r="P68" s="18">
        <v>500000</v>
      </c>
      <c r="Q68" s="99">
        <v>1</v>
      </c>
      <c r="R68" s="99"/>
    </row>
    <row r="69" spans="1:21">
      <c r="A69" s="96"/>
      <c r="B69" s="96"/>
      <c r="E69" s="96"/>
      <c r="F69" s="96"/>
      <c r="O69" s="99" t="s">
        <v>5501</v>
      </c>
      <c r="P69" s="18">
        <v>1000000</v>
      </c>
      <c r="Q69" s="99">
        <v>5</v>
      </c>
      <c r="R69" s="99"/>
    </row>
    <row r="70" spans="1:21">
      <c r="A70" s="96"/>
      <c r="B70" s="96"/>
      <c r="E70" s="96"/>
      <c r="F70" s="96"/>
      <c r="O70" s="99" t="s">
        <v>5507</v>
      </c>
      <c r="P70" s="18">
        <v>-2700000</v>
      </c>
      <c r="Q70" s="99">
        <v>1</v>
      </c>
      <c r="R70" s="99"/>
    </row>
    <row r="71" spans="1:21">
      <c r="A71" s="96"/>
      <c r="B71" s="96"/>
      <c r="E71" s="96"/>
      <c r="F71" s="96"/>
      <c r="M71" t="s">
        <v>25</v>
      </c>
      <c r="O71" s="99" t="s">
        <v>5510</v>
      </c>
      <c r="P71" s="18">
        <v>-3600000</v>
      </c>
      <c r="Q71" s="99">
        <v>1</v>
      </c>
      <c r="R71" s="99"/>
    </row>
    <row r="72" spans="1:21">
      <c r="A72" s="96"/>
      <c r="B72" s="96"/>
      <c r="E72" s="96"/>
      <c r="F72" s="96"/>
      <c r="O72" s="99" t="s">
        <v>999</v>
      </c>
      <c r="P72" s="18">
        <v>-400000</v>
      </c>
      <c r="Q72" s="99">
        <v>17</v>
      </c>
      <c r="R72" s="99"/>
    </row>
    <row r="73" spans="1:21">
      <c r="A73" s="96"/>
      <c r="B73" s="96"/>
      <c r="E73" s="96"/>
      <c r="F73" s="96"/>
      <c r="O73" s="99" t="s">
        <v>5534</v>
      </c>
      <c r="P73" s="18">
        <v>1000000</v>
      </c>
      <c r="Q73" s="99">
        <v>20</v>
      </c>
      <c r="R73" s="99"/>
    </row>
    <row r="74" spans="1:21">
      <c r="A74" s="96"/>
      <c r="B74" s="96"/>
      <c r="E74" s="96"/>
      <c r="F74" s="96"/>
      <c r="O74" s="99" t="s">
        <v>5585</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4987</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7" sqref="E12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4954</v>
      </c>
      <c r="F57" s="114"/>
      <c r="G57" s="41"/>
      <c r="H57" s="96"/>
      <c r="I57" s="96"/>
      <c r="J57" s="96"/>
      <c r="K57" s="96"/>
      <c r="L57" s="96"/>
      <c r="M57" s="96"/>
      <c r="N57" s="96"/>
      <c r="O57" s="96"/>
      <c r="P57" s="96"/>
      <c r="Q57" s="96"/>
      <c r="R57" s="96"/>
      <c r="S57" s="96"/>
      <c r="T57" s="96"/>
      <c r="U57" s="96"/>
    </row>
    <row r="58" spans="1:21">
      <c r="A58" s="96"/>
      <c r="B58" s="96"/>
      <c r="C58" s="96"/>
      <c r="D58" s="18">
        <v>-1170000</v>
      </c>
      <c r="E58" s="122" t="s">
        <v>4965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4964</v>
      </c>
      <c r="F59" s="114"/>
      <c r="G59" s="96"/>
      <c r="H59" s="96"/>
      <c r="I59" s="96"/>
      <c r="J59" s="96"/>
      <c r="K59" s="96"/>
      <c r="L59" s="96"/>
      <c r="M59" s="96"/>
      <c r="N59" s="96"/>
      <c r="O59" s="96"/>
      <c r="P59" s="96"/>
      <c r="Q59" s="96"/>
      <c r="R59" s="96"/>
      <c r="S59" s="96"/>
      <c r="T59" s="96"/>
      <c r="U59" s="96"/>
    </row>
    <row r="60" spans="1:21">
      <c r="A60" s="96"/>
      <c r="B60" s="96"/>
      <c r="C60" s="96"/>
      <c r="D60" s="18">
        <v>360000</v>
      </c>
      <c r="E60" s="122" t="s">
        <v>4975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4998</v>
      </c>
      <c r="F61" s="96"/>
      <c r="G61" s="96"/>
      <c r="H61" s="96"/>
      <c r="I61" s="96"/>
      <c r="J61" s="96"/>
      <c r="K61" s="96"/>
      <c r="L61" s="96"/>
      <c r="M61" s="96"/>
      <c r="N61" s="96"/>
      <c r="O61" s="96"/>
      <c r="P61" s="96"/>
      <c r="Q61" s="96"/>
      <c r="R61" s="96"/>
      <c r="S61" s="96"/>
      <c r="T61" s="96"/>
      <c r="U61" s="96"/>
    </row>
    <row r="62" spans="1:21">
      <c r="A62" s="96"/>
      <c r="B62" s="96"/>
      <c r="C62" s="96"/>
      <c r="D62" s="18">
        <v>-550000</v>
      </c>
      <c r="E62" s="251" t="s">
        <v>5001</v>
      </c>
      <c r="F62" s="96"/>
      <c r="G62" s="96"/>
      <c r="H62" s="96"/>
      <c r="I62" s="96"/>
      <c r="J62" s="96"/>
      <c r="K62" s="96"/>
      <c r="L62" s="96"/>
      <c r="M62" s="96"/>
      <c r="N62" s="96"/>
      <c r="O62" s="96"/>
      <c r="P62" s="96"/>
      <c r="Q62" s="96"/>
      <c r="R62" s="96"/>
      <c r="S62" s="96"/>
      <c r="T62" s="96"/>
      <c r="U62" s="96"/>
    </row>
    <row r="63" spans="1:21">
      <c r="A63" s="96"/>
      <c r="B63" s="96"/>
      <c r="C63" s="96"/>
      <c r="D63" s="18">
        <v>-850000</v>
      </c>
      <c r="E63" s="251" t="s">
        <v>5009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5013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5018</v>
      </c>
      <c r="F65" s="96"/>
      <c r="G65" s="96"/>
      <c r="H65" s="96"/>
      <c r="I65" s="96"/>
      <c r="J65" s="96"/>
      <c r="K65" s="96"/>
      <c r="L65" s="96"/>
      <c r="M65" s="96"/>
      <c r="N65" s="96"/>
      <c r="O65" s="96"/>
      <c r="P65" s="96"/>
      <c r="Q65" s="96"/>
      <c r="R65" s="96"/>
      <c r="S65" s="96"/>
      <c r="T65" s="96"/>
      <c r="U65" s="96"/>
    </row>
    <row r="66" spans="1:21">
      <c r="A66" s="96"/>
      <c r="B66" s="96"/>
      <c r="C66" s="96"/>
      <c r="D66" s="18">
        <v>-2290500</v>
      </c>
      <c r="E66" s="251" t="s">
        <v>5019</v>
      </c>
      <c r="F66" s="96"/>
      <c r="G66" s="96"/>
      <c r="H66" s="96"/>
      <c r="I66" s="96"/>
      <c r="J66" s="96"/>
      <c r="K66" s="96"/>
      <c r="L66" s="96"/>
      <c r="M66" s="96"/>
      <c r="N66" s="96"/>
      <c r="O66" s="96"/>
      <c r="P66" s="96"/>
      <c r="Q66" s="96"/>
      <c r="R66" s="96"/>
      <c r="S66" s="96"/>
      <c r="T66" s="96"/>
      <c r="U66" s="96"/>
    </row>
    <row r="67" spans="1:21">
      <c r="A67" s="96"/>
      <c r="B67" s="96"/>
      <c r="C67" s="96"/>
      <c r="D67" s="18">
        <v>1700000</v>
      </c>
      <c r="E67" s="251" t="s">
        <v>5031</v>
      </c>
      <c r="F67" s="96"/>
      <c r="G67" s="96"/>
      <c r="H67" s="96"/>
      <c r="I67" s="96"/>
      <c r="J67" s="96"/>
      <c r="K67" s="96"/>
      <c r="L67" s="96"/>
      <c r="M67" s="96"/>
      <c r="N67" s="96"/>
      <c r="O67" s="96"/>
      <c r="P67" s="96"/>
      <c r="Q67" s="96"/>
      <c r="R67" s="96"/>
      <c r="S67" s="96"/>
      <c r="T67" s="96"/>
      <c r="U67" s="96"/>
    </row>
    <row r="68" spans="1:21">
      <c r="A68" s="96"/>
      <c r="B68" s="96"/>
      <c r="C68" s="96"/>
      <c r="D68" s="18">
        <v>-150000</v>
      </c>
      <c r="E68" s="251" t="s">
        <v>5036</v>
      </c>
      <c r="F68" s="96"/>
      <c r="G68" s="96"/>
      <c r="H68" s="96"/>
      <c r="I68" s="96"/>
      <c r="J68" s="96"/>
      <c r="K68" s="96"/>
      <c r="L68" s="96"/>
      <c r="M68" s="96"/>
      <c r="N68" s="96"/>
      <c r="O68" s="96"/>
      <c r="P68" s="96"/>
      <c r="Q68" s="96"/>
      <c r="R68" s="96"/>
      <c r="S68" s="96"/>
      <c r="T68" s="96"/>
      <c r="U68" s="96"/>
    </row>
    <row r="69" spans="1:21">
      <c r="A69" s="96"/>
      <c r="B69" s="96"/>
      <c r="C69" s="96"/>
      <c r="D69" s="18">
        <v>-550000</v>
      </c>
      <c r="E69" s="251" t="s">
        <v>5040</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5058</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5072</v>
      </c>
      <c r="F71" s="96"/>
      <c r="G71" s="96"/>
      <c r="H71" s="96"/>
      <c r="I71" s="96"/>
      <c r="J71" s="96"/>
      <c r="K71" s="96"/>
      <c r="L71" s="96"/>
      <c r="M71" s="96"/>
      <c r="N71" s="96"/>
      <c r="O71" s="96"/>
      <c r="P71" s="96"/>
      <c r="Q71" s="96"/>
      <c r="R71" s="96"/>
      <c r="S71" s="96"/>
      <c r="T71" s="96"/>
      <c r="U71" s="96"/>
    </row>
    <row r="72" spans="1:21">
      <c r="A72" s="96"/>
      <c r="B72" s="96"/>
      <c r="C72" s="96"/>
      <c r="D72" s="18">
        <v>1500000</v>
      </c>
      <c r="E72" s="251" t="s">
        <v>5073</v>
      </c>
      <c r="F72" s="96"/>
      <c r="G72" s="96"/>
      <c r="H72" s="96"/>
      <c r="I72" s="96"/>
      <c r="J72" s="96"/>
      <c r="K72" s="96"/>
      <c r="L72" s="96"/>
      <c r="M72" s="96"/>
      <c r="N72" s="96"/>
      <c r="O72" s="96"/>
      <c r="P72" s="96"/>
      <c r="Q72" s="96"/>
      <c r="R72" s="96"/>
      <c r="S72" s="96"/>
      <c r="T72" s="96"/>
      <c r="U72" s="96"/>
    </row>
    <row r="73" spans="1:21">
      <c r="A73" s="96"/>
      <c r="B73" s="96"/>
      <c r="C73" s="96"/>
      <c r="D73" s="18">
        <v>-550000</v>
      </c>
      <c r="E73" s="251" t="s">
        <v>5077</v>
      </c>
      <c r="F73" s="96"/>
      <c r="G73" s="96"/>
      <c r="H73" s="96"/>
      <c r="I73" s="96"/>
      <c r="J73" s="96"/>
      <c r="K73" s="96"/>
      <c r="L73" s="96"/>
      <c r="M73" s="96"/>
      <c r="N73" s="96"/>
      <c r="O73" s="96"/>
      <c r="P73" s="96"/>
      <c r="Q73" s="96"/>
      <c r="R73" s="96"/>
      <c r="S73" s="96"/>
      <c r="T73" s="96"/>
      <c r="U73" s="96"/>
    </row>
    <row r="74" spans="1:21">
      <c r="A74" s="96"/>
      <c r="B74" s="96"/>
      <c r="C74" s="96"/>
      <c r="D74" s="18">
        <v>-50000</v>
      </c>
      <c r="E74" s="251" t="s">
        <v>5078</v>
      </c>
      <c r="F74" s="96"/>
      <c r="G74" s="96"/>
      <c r="H74" s="96"/>
      <c r="I74" s="96"/>
      <c r="J74" s="96"/>
      <c r="K74" s="96"/>
      <c r="L74" s="96"/>
      <c r="M74" s="96"/>
      <c r="N74" s="96"/>
      <c r="O74" s="96"/>
      <c r="P74" s="96"/>
      <c r="Q74" s="96"/>
      <c r="R74" s="96"/>
      <c r="S74" s="96"/>
      <c r="T74" s="96"/>
      <c r="U74" s="96"/>
    </row>
    <row r="75" spans="1:21">
      <c r="A75" s="96"/>
      <c r="B75" s="96"/>
      <c r="C75" s="96"/>
      <c r="D75" s="18">
        <v>-60000</v>
      </c>
      <c r="E75" s="251" t="s">
        <v>5079</v>
      </c>
      <c r="F75" s="96"/>
      <c r="G75" s="96"/>
      <c r="H75" s="96"/>
      <c r="I75" s="96"/>
      <c r="J75" s="96"/>
      <c r="K75" s="96"/>
      <c r="L75" s="96"/>
      <c r="M75" s="96"/>
      <c r="N75" s="96"/>
      <c r="O75" s="96"/>
      <c r="P75" s="96"/>
      <c r="Q75" s="96"/>
      <c r="R75" s="96"/>
      <c r="S75" s="96"/>
      <c r="T75" s="96"/>
      <c r="U75" s="96"/>
    </row>
    <row r="76" spans="1:21">
      <c r="A76" s="96"/>
      <c r="B76" s="96"/>
      <c r="C76" s="96"/>
      <c r="D76" s="18">
        <v>-43000</v>
      </c>
      <c r="E76" s="251" t="s">
        <v>5087</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5097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5098</v>
      </c>
      <c r="F78" s="96"/>
      <c r="G78" s="96"/>
      <c r="H78" s="96"/>
      <c r="I78" s="96"/>
      <c r="J78" s="96"/>
      <c r="K78" s="96"/>
      <c r="L78" s="96"/>
      <c r="M78" s="96"/>
      <c r="N78" s="96"/>
      <c r="O78" s="96"/>
      <c r="P78" s="96"/>
      <c r="Q78" s="96"/>
      <c r="R78" s="96"/>
      <c r="S78" s="96"/>
      <c r="T78" s="96"/>
      <c r="U78" s="96"/>
    </row>
    <row r="79" spans="1:21">
      <c r="A79" s="96"/>
      <c r="B79" s="96"/>
      <c r="C79" s="96"/>
      <c r="D79" s="18">
        <v>-750000</v>
      </c>
      <c r="E79" s="251" t="s">
        <v>5104</v>
      </c>
      <c r="F79" s="96"/>
      <c r="G79" s="96"/>
      <c r="H79" s="96"/>
      <c r="I79" s="96"/>
      <c r="J79" s="96"/>
      <c r="K79" s="96"/>
      <c r="L79" s="96"/>
      <c r="M79" s="96"/>
      <c r="N79" s="96"/>
      <c r="O79" s="96"/>
      <c r="P79" s="96"/>
      <c r="Q79" s="96"/>
      <c r="R79" s="96"/>
      <c r="S79" s="96"/>
      <c r="T79" s="96"/>
      <c r="U79" s="96"/>
    </row>
    <row r="80" spans="1:21">
      <c r="A80" s="96"/>
      <c r="B80" s="96"/>
      <c r="C80" s="96"/>
      <c r="D80" s="18">
        <v>50000</v>
      </c>
      <c r="E80" s="251" t="s">
        <v>5116</v>
      </c>
      <c r="F80" s="96"/>
      <c r="G80" s="96"/>
      <c r="H80" s="96"/>
      <c r="I80" s="96"/>
      <c r="J80" s="96"/>
      <c r="K80" s="96"/>
      <c r="L80" s="96"/>
      <c r="M80" s="96"/>
      <c r="N80" s="96"/>
      <c r="O80" s="96"/>
      <c r="P80" s="96"/>
      <c r="Q80" s="96"/>
      <c r="R80" s="96"/>
      <c r="S80" s="96"/>
      <c r="T80" s="96"/>
      <c r="U80" s="96"/>
    </row>
    <row r="81" spans="1:21">
      <c r="A81" s="96"/>
      <c r="B81" s="96"/>
      <c r="C81" s="96"/>
      <c r="D81" s="18">
        <v>500000</v>
      </c>
      <c r="E81" s="251" t="s">
        <v>5130</v>
      </c>
      <c r="F81" s="96"/>
      <c r="G81" s="96"/>
      <c r="H81" s="96"/>
      <c r="I81" s="96"/>
      <c r="J81" s="96"/>
      <c r="K81" s="96"/>
      <c r="L81" s="96"/>
      <c r="M81" s="96"/>
      <c r="N81" s="96"/>
      <c r="O81" s="96"/>
      <c r="P81" s="96"/>
      <c r="Q81" s="96"/>
      <c r="R81" s="96"/>
      <c r="S81" s="96"/>
      <c r="T81" s="96"/>
      <c r="U81" s="96"/>
    </row>
    <row r="82" spans="1:21">
      <c r="A82" s="96"/>
      <c r="B82" s="96"/>
      <c r="C82" s="96"/>
      <c r="D82" s="18">
        <v>1500000</v>
      </c>
      <c r="E82" s="251" t="s">
        <v>5129</v>
      </c>
      <c r="F82" s="96"/>
      <c r="G82" s="96"/>
      <c r="H82" s="96"/>
      <c r="I82" s="96"/>
      <c r="J82" s="96"/>
      <c r="K82" s="96"/>
      <c r="L82" s="96"/>
      <c r="M82" s="96"/>
      <c r="N82" s="96"/>
      <c r="O82" s="96"/>
      <c r="P82" s="96"/>
      <c r="Q82" s="96"/>
      <c r="R82" s="96"/>
      <c r="S82" s="96"/>
      <c r="T82" s="96"/>
      <c r="U82" s="96"/>
    </row>
    <row r="83" spans="1:21">
      <c r="D83" s="18">
        <v>-510000</v>
      </c>
      <c r="E83" s="251" t="s">
        <v>5131</v>
      </c>
      <c r="H83" t="s">
        <v>25</v>
      </c>
    </row>
    <row r="84" spans="1:21">
      <c r="D84" s="18">
        <v>-400000</v>
      </c>
      <c r="E84" s="251" t="s">
        <v>5145</v>
      </c>
    </row>
    <row r="85" spans="1:21">
      <c r="D85" s="18">
        <v>250000</v>
      </c>
      <c r="E85" s="251" t="s">
        <v>5151</v>
      </c>
    </row>
    <row r="86" spans="1:21">
      <c r="D86" s="18">
        <v>-50000</v>
      </c>
      <c r="E86" s="251" t="s">
        <v>5152</v>
      </c>
    </row>
    <row r="87" spans="1:21">
      <c r="D87" s="18">
        <v>-300000</v>
      </c>
      <c r="E87" s="251" t="s">
        <v>5156</v>
      </c>
    </row>
    <row r="88" spans="1:21">
      <c r="D88" s="18">
        <v>-100000</v>
      </c>
      <c r="E88" s="251" t="s">
        <v>5170</v>
      </c>
      <c r="I88" t="s">
        <v>25</v>
      </c>
    </row>
    <row r="89" spans="1:21">
      <c r="D89" s="18">
        <v>-250000</v>
      </c>
      <c r="E89" s="251" t="s">
        <v>5182</v>
      </c>
    </row>
    <row r="90" spans="1:21">
      <c r="D90" s="18">
        <v>-45000</v>
      </c>
      <c r="E90" s="251" t="s">
        <v>5205</v>
      </c>
    </row>
    <row r="91" spans="1:21">
      <c r="D91" s="18">
        <v>3000000</v>
      </c>
      <c r="E91" s="251" t="s">
        <v>5206</v>
      </c>
      <c r="I91" t="s">
        <v>25</v>
      </c>
    </row>
    <row r="92" spans="1:21">
      <c r="D92" s="18">
        <v>-550000</v>
      </c>
      <c r="E92" s="251" t="s">
        <v>5207</v>
      </c>
    </row>
    <row r="93" spans="1:21">
      <c r="D93" s="18">
        <v>-200000</v>
      </c>
      <c r="E93" s="251" t="s">
        <v>5221</v>
      </c>
      <c r="G93" t="s">
        <v>25</v>
      </c>
    </row>
    <row r="94" spans="1:21">
      <c r="D94" s="18">
        <v>-30500</v>
      </c>
      <c r="E94" s="251" t="s">
        <v>5222</v>
      </c>
    </row>
    <row r="95" spans="1:21">
      <c r="D95" s="18">
        <v>2500000</v>
      </c>
      <c r="E95" s="251" t="s">
        <v>5257</v>
      </c>
      <c r="I95" t="s">
        <v>25</v>
      </c>
    </row>
    <row r="96" spans="1:21">
      <c r="D96" s="18">
        <v>-230000</v>
      </c>
      <c r="E96" s="251" t="s">
        <v>5264</v>
      </c>
    </row>
    <row r="97" spans="4:10">
      <c r="D97" s="18">
        <v>-168950</v>
      </c>
      <c r="E97" s="251" t="s">
        <v>4401</v>
      </c>
      <c r="J97" t="s">
        <v>25</v>
      </c>
    </row>
    <row r="98" spans="4:10">
      <c r="D98" s="18">
        <v>-250000</v>
      </c>
      <c r="E98" s="251" t="s">
        <v>5276</v>
      </c>
    </row>
    <row r="99" spans="4:10">
      <c r="D99" s="18">
        <v>500000</v>
      </c>
      <c r="E99" s="251" t="s">
        <v>5290</v>
      </c>
    </row>
    <row r="100" spans="4:10">
      <c r="D100" s="18">
        <v>-520000</v>
      </c>
      <c r="E100" s="251" t="s">
        <v>5289</v>
      </c>
      <c r="J100" t="s">
        <v>25</v>
      </c>
    </row>
    <row r="101" spans="4:10">
      <c r="D101" s="18">
        <v>500000</v>
      </c>
      <c r="E101" s="251" t="s">
        <v>5300</v>
      </c>
    </row>
    <row r="102" spans="4:10">
      <c r="D102" s="18">
        <v>-200000</v>
      </c>
      <c r="E102" s="251" t="s">
        <v>5304</v>
      </c>
    </row>
    <row r="103" spans="4:10">
      <c r="D103" s="18">
        <v>-300000</v>
      </c>
      <c r="E103" s="251" t="s">
        <v>5305</v>
      </c>
    </row>
    <row r="104" spans="4:10">
      <c r="D104" s="18">
        <v>-530000</v>
      </c>
      <c r="E104" s="251" t="s">
        <v>5323</v>
      </c>
    </row>
    <row r="105" spans="4:10">
      <c r="D105" s="18">
        <v>-550000</v>
      </c>
      <c r="E105" s="251" t="s">
        <v>5325</v>
      </c>
    </row>
    <row r="106" spans="4:10">
      <c r="D106" s="18">
        <v>-200000</v>
      </c>
      <c r="E106" s="251" t="s">
        <v>5349</v>
      </c>
    </row>
    <row r="107" spans="4:10">
      <c r="D107" s="18">
        <v>-1600000</v>
      </c>
      <c r="E107" s="251" t="s">
        <v>5351</v>
      </c>
      <c r="G107" t="s">
        <v>25</v>
      </c>
    </row>
    <row r="108" spans="4:10">
      <c r="D108" s="18">
        <v>1600000</v>
      </c>
      <c r="E108" s="251" t="s">
        <v>5359</v>
      </c>
    </row>
    <row r="109" spans="4:10">
      <c r="D109" s="18">
        <v>-550000</v>
      </c>
      <c r="E109" s="251" t="s">
        <v>5362</v>
      </c>
    </row>
    <row r="110" spans="4:10">
      <c r="D110" s="18">
        <v>-15000</v>
      </c>
      <c r="E110" s="251" t="s">
        <v>5367</v>
      </c>
    </row>
    <row r="111" spans="4:10">
      <c r="D111" s="18">
        <v>-325000</v>
      </c>
      <c r="E111" s="251" t="s">
        <v>5386</v>
      </c>
    </row>
    <row r="112" spans="4:10">
      <c r="D112" s="18">
        <v>-130000</v>
      </c>
      <c r="E112" s="251" t="s">
        <v>5387</v>
      </c>
    </row>
    <row r="113" spans="4:10">
      <c r="D113" s="18">
        <v>-250000</v>
      </c>
      <c r="E113" s="251" t="s">
        <v>5396</v>
      </c>
      <c r="J113" t="s">
        <v>25</v>
      </c>
    </row>
    <row r="114" spans="4:10">
      <c r="D114" s="18">
        <v>-750000</v>
      </c>
      <c r="E114" s="251" t="s">
        <v>5399</v>
      </c>
    </row>
    <row r="115" spans="4:10">
      <c r="D115" s="18">
        <v>250000</v>
      </c>
      <c r="E115" s="251" t="s">
        <v>5408</v>
      </c>
    </row>
    <row r="116" spans="4:10">
      <c r="D116" s="18">
        <v>-2100000</v>
      </c>
      <c r="E116" s="251" t="s">
        <v>5422</v>
      </c>
    </row>
    <row r="117" spans="4:10">
      <c r="D117" s="18">
        <v>-1000000</v>
      </c>
      <c r="E117" s="251" t="s">
        <v>5431</v>
      </c>
    </row>
    <row r="118" spans="4:10">
      <c r="D118" s="18">
        <v>-100000</v>
      </c>
      <c r="E118" s="251" t="s">
        <v>5432</v>
      </c>
    </row>
    <row r="119" spans="4:10">
      <c r="D119" s="18">
        <v>-550000</v>
      </c>
      <c r="E119" s="251" t="s">
        <v>5462</v>
      </c>
    </row>
    <row r="120" spans="4:10">
      <c r="D120" s="18">
        <v>-550000</v>
      </c>
      <c r="E120" s="251" t="s">
        <v>5463</v>
      </c>
    </row>
    <row r="121" spans="4:10">
      <c r="D121" s="18">
        <v>-390000</v>
      </c>
      <c r="E121" s="251" t="s">
        <v>5494</v>
      </c>
      <c r="H121" t="s">
        <v>25</v>
      </c>
      <c r="J121" t="s">
        <v>25</v>
      </c>
    </row>
    <row r="122" spans="4:10">
      <c r="D122" s="18">
        <v>2432520</v>
      </c>
      <c r="E122" s="251" t="s">
        <v>5495</v>
      </c>
    </row>
    <row r="123" spans="4:10">
      <c r="D123" s="18">
        <v>8000000</v>
      </c>
      <c r="E123" s="251" t="s">
        <v>5513</v>
      </c>
    </row>
    <row r="124" spans="4:10">
      <c r="D124" s="18">
        <v>-83930</v>
      </c>
      <c r="E124" s="251" t="s">
        <v>5522</v>
      </c>
    </row>
    <row r="125" spans="4:10">
      <c r="D125" s="18">
        <v>1000000</v>
      </c>
      <c r="E125" s="251" t="s">
        <v>5586</v>
      </c>
    </row>
    <row r="126" spans="4:10">
      <c r="D126" s="18">
        <v>-1333333</v>
      </c>
      <c r="E126" s="251" t="s">
        <v>5587</v>
      </c>
      <c r="J126" t="s">
        <v>25</v>
      </c>
    </row>
    <row r="127" spans="4:10">
      <c r="D127" s="18"/>
      <c r="E127" s="251"/>
    </row>
    <row r="128" spans="4:10">
      <c r="D128" s="18"/>
      <c r="E128" s="251"/>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29886716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4994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5049</v>
      </c>
      <c r="X20" s="41">
        <v>9194342556</v>
      </c>
      <c r="Y20" s="41">
        <v>200</v>
      </c>
      <c r="Z20" s="41" t="s">
        <v>4527</v>
      </c>
      <c r="AA20" t="s">
        <v>5030</v>
      </c>
      <c r="AB20" s="96"/>
      <c r="AC20" s="96"/>
      <c r="AD20" s="96"/>
      <c r="AE20" s="96"/>
      <c r="AF20" s="96"/>
      <c r="AG20" s="96"/>
      <c r="AH20" s="96"/>
      <c r="AI20" s="96"/>
    </row>
    <row r="21" spans="5:35">
      <c r="O21" s="99"/>
      <c r="P21" s="99"/>
      <c r="Q21" s="305" t="s">
        <v>1085</v>
      </c>
      <c r="R21" s="305"/>
      <c r="S21" s="305"/>
      <c r="T21" s="305"/>
      <c r="U21" s="96"/>
      <c r="V21" s="96"/>
      <c r="W21" s="41" t="s">
        <v>5048</v>
      </c>
      <c r="X21" s="41">
        <v>9035210431</v>
      </c>
      <c r="Y21" s="41">
        <v>50</v>
      </c>
      <c r="Z21" s="41" t="s">
        <v>5330</v>
      </c>
      <c r="AA21" t="s">
        <v>5066</v>
      </c>
    </row>
    <row r="22" spans="5:35">
      <c r="O22" s="99"/>
      <c r="P22" s="99"/>
      <c r="Q22" s="305"/>
      <c r="R22" s="305"/>
      <c r="S22" s="305"/>
      <c r="T22" s="305"/>
      <c r="U22" s="96"/>
      <c r="V22" s="96"/>
      <c r="W22" s="41" t="s">
        <v>5140</v>
      </c>
      <c r="X22" s="41">
        <v>9909620343</v>
      </c>
      <c r="Y22" s="41">
        <v>200</v>
      </c>
      <c r="Z22" s="41" t="s">
        <v>5331</v>
      </c>
      <c r="AA22" t="s">
        <v>5334</v>
      </c>
      <c r="AB22" s="41" t="s">
        <v>5342</v>
      </c>
    </row>
    <row r="23" spans="5:35" ht="15.75">
      <c r="O23" s="178"/>
      <c r="P23" s="99" t="s">
        <v>4082</v>
      </c>
      <c r="Q23" s="306" t="s">
        <v>1086</v>
      </c>
      <c r="R23" s="307" t="s">
        <v>1087</v>
      </c>
      <c r="S23" s="306" t="s">
        <v>1088</v>
      </c>
      <c r="T23" s="308" t="s">
        <v>1089</v>
      </c>
      <c r="W23" s="41" t="s">
        <v>5141</v>
      </c>
      <c r="X23" s="41">
        <v>9378807702</v>
      </c>
      <c r="Y23" s="41">
        <v>0</v>
      </c>
      <c r="Z23" s="41">
        <v>0</v>
      </c>
      <c r="AD23" t="s">
        <v>25</v>
      </c>
    </row>
    <row r="24" spans="5:35">
      <c r="O24" s="99"/>
      <c r="P24" s="99"/>
      <c r="Q24" s="306"/>
      <c r="R24" s="307"/>
      <c r="S24" s="306"/>
      <c r="T24" s="308"/>
      <c r="W24" s="41" t="s">
        <v>5164</v>
      </c>
      <c r="X24" s="41"/>
      <c r="Y24" s="41">
        <v>200</v>
      </c>
      <c r="Z24" s="41" t="s">
        <v>4527</v>
      </c>
      <c r="AA24" t="s">
        <v>5177</v>
      </c>
      <c r="AB24" t="s">
        <v>5229</v>
      </c>
    </row>
    <row r="25" spans="5:35">
      <c r="O25" s="173" t="s">
        <v>4138</v>
      </c>
      <c r="P25" s="173">
        <v>2182188507</v>
      </c>
      <c r="Q25" s="174" t="s">
        <v>1090</v>
      </c>
      <c r="R25" s="174" t="s">
        <v>4083</v>
      </c>
      <c r="S25" s="174" t="s">
        <v>4088</v>
      </c>
      <c r="T25" s="174" t="s">
        <v>1091</v>
      </c>
      <c r="W25" s="41" t="s">
        <v>5184</v>
      </c>
      <c r="X25" s="41">
        <v>9013075723</v>
      </c>
      <c r="Y25" s="41">
        <v>100</v>
      </c>
      <c r="Z25" s="41" t="s">
        <v>5330</v>
      </c>
      <c r="AA25" t="s">
        <v>5253</v>
      </c>
    </row>
    <row r="26" spans="5:35">
      <c r="O26" s="173"/>
      <c r="P26" s="173">
        <v>2123095122</v>
      </c>
      <c r="Q26" s="175" t="s">
        <v>1092</v>
      </c>
      <c r="R26" s="175" t="s">
        <v>1093</v>
      </c>
      <c r="S26" s="175" t="s">
        <v>1094</v>
      </c>
      <c r="T26" s="175" t="s">
        <v>1095</v>
      </c>
      <c r="U26" s="96"/>
      <c r="V26" s="96"/>
      <c r="W26" s="41" t="s">
        <v>5332</v>
      </c>
      <c r="X26" s="41">
        <v>9214923916</v>
      </c>
      <c r="Y26" s="41">
        <v>100</v>
      </c>
      <c r="Z26" s="41" t="s">
        <v>4527</v>
      </c>
      <c r="AA26" s="207" t="s">
        <v>5326</v>
      </c>
      <c r="AB26" s="96"/>
    </row>
    <row r="27" spans="5:35" ht="30">
      <c r="O27" s="173" t="s">
        <v>4193</v>
      </c>
      <c r="P27" s="173">
        <v>2188831909</v>
      </c>
      <c r="Q27" s="99" t="s">
        <v>4085</v>
      </c>
      <c r="R27" s="99" t="s">
        <v>4086</v>
      </c>
      <c r="S27" s="99" t="s">
        <v>4087</v>
      </c>
      <c r="T27" s="176" t="s">
        <v>4089</v>
      </c>
      <c r="U27" s="96"/>
      <c r="V27" s="96"/>
      <c r="W27" s="41" t="s">
        <v>5333</v>
      </c>
      <c r="X27" s="41" t="s">
        <v>5395</v>
      </c>
      <c r="Y27" s="41">
        <v>80</v>
      </c>
      <c r="Z27" s="41" t="s">
        <v>5330</v>
      </c>
      <c r="AA27" s="207" t="s">
        <v>5326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5409</v>
      </c>
      <c r="E1" s="99"/>
      <c r="F1" s="99"/>
      <c r="G1" s="99"/>
      <c r="H1" s="99"/>
      <c r="I1" s="99"/>
    </row>
    <row r="2" spans="1:15">
      <c r="A2" s="99">
        <v>1</v>
      </c>
      <c r="B2" s="99" t="s">
        <v>5302</v>
      </c>
      <c r="C2" s="95">
        <v>28500</v>
      </c>
      <c r="D2" s="99" t="s">
        <v>5412</v>
      </c>
      <c r="E2" s="99"/>
      <c r="F2" s="99"/>
      <c r="G2" s="99"/>
      <c r="H2" s="99"/>
      <c r="I2" s="99"/>
    </row>
    <row r="3" spans="1:15">
      <c r="A3" s="99">
        <v>2</v>
      </c>
      <c r="B3" s="99" t="s">
        <v>5329</v>
      </c>
      <c r="C3" s="95">
        <v>180200</v>
      </c>
      <c r="D3" s="99" t="s">
        <v>5411</v>
      </c>
      <c r="E3" s="99"/>
      <c r="F3" s="99"/>
      <c r="G3" s="99"/>
      <c r="H3" s="99"/>
      <c r="I3" s="99"/>
    </row>
    <row r="4" spans="1:15">
      <c r="A4" s="99">
        <v>3</v>
      </c>
      <c r="B4" s="99" t="s">
        <v>5403</v>
      </c>
      <c r="C4" s="95">
        <v>187000</v>
      </c>
      <c r="D4" s="99" t="s">
        <v>5410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4959</v>
      </c>
      <c r="B291" s="113">
        <v>2600000</v>
      </c>
      <c r="C291" s="99">
        <v>2</v>
      </c>
      <c r="D291" s="99">
        <f t="shared" si="15"/>
        <v>340</v>
      </c>
      <c r="E291" s="99">
        <f t="shared" si="16"/>
        <v>0</v>
      </c>
      <c r="F291" s="99">
        <f t="shared" si="9"/>
        <v>884000000</v>
      </c>
      <c r="G291" s="99"/>
      <c r="I291" t="s">
        <v>25</v>
      </c>
    </row>
    <row r="292" spans="1:10">
      <c r="A292" s="99" t="s">
        <v>4960</v>
      </c>
      <c r="B292" s="113">
        <v>-1170000</v>
      </c>
      <c r="C292" s="99">
        <v>0</v>
      </c>
      <c r="D292" s="99">
        <f t="shared" si="15"/>
        <v>338</v>
      </c>
      <c r="E292" s="99">
        <f t="shared" si="16"/>
        <v>0</v>
      </c>
      <c r="F292" s="99">
        <f t="shared" si="9"/>
        <v>-395460000</v>
      </c>
      <c r="G292" s="99" t="s">
        <v>4961</v>
      </c>
      <c r="J292" t="s">
        <v>25</v>
      </c>
    </row>
    <row r="293" spans="1:10">
      <c r="A293" s="99" t="s">
        <v>4960</v>
      </c>
      <c r="B293" s="113">
        <v>-9000</v>
      </c>
      <c r="C293" s="99">
        <v>1</v>
      </c>
      <c r="D293" s="99">
        <f t="shared" si="15"/>
        <v>338</v>
      </c>
      <c r="E293" s="99">
        <f t="shared" si="16"/>
        <v>0</v>
      </c>
      <c r="F293" s="99">
        <f t="shared" si="9"/>
        <v>-3042000</v>
      </c>
      <c r="G293" s="99"/>
    </row>
    <row r="294" spans="1:10">
      <c r="A294" s="99" t="s">
        <v>4962</v>
      </c>
      <c r="B294" s="113">
        <v>-1145000</v>
      </c>
      <c r="C294" s="99">
        <v>0</v>
      </c>
      <c r="D294" s="99">
        <f t="shared" si="15"/>
        <v>337</v>
      </c>
      <c r="E294" s="99">
        <f t="shared" si="16"/>
        <v>0</v>
      </c>
      <c r="F294" s="99">
        <f t="shared" si="9"/>
        <v>-385865000</v>
      </c>
      <c r="G294" s="99" t="s">
        <v>4963</v>
      </c>
    </row>
    <row r="295" spans="1:10">
      <c r="A295" s="99" t="s">
        <v>4962</v>
      </c>
      <c r="B295" s="113">
        <v>-94549</v>
      </c>
      <c r="C295" s="99">
        <v>2</v>
      </c>
      <c r="D295" s="99">
        <f t="shared" si="15"/>
        <v>337</v>
      </c>
      <c r="E295" s="99">
        <f t="shared" si="16"/>
        <v>0</v>
      </c>
      <c r="F295" s="99">
        <f t="shared" si="9"/>
        <v>-31863013</v>
      </c>
      <c r="G295" s="99" t="s">
        <v>506</v>
      </c>
      <c r="J295" t="s">
        <v>25</v>
      </c>
    </row>
    <row r="296" spans="1:10">
      <c r="A296" s="99" t="s">
        <v>5134</v>
      </c>
      <c r="B296" s="113">
        <v>-3500</v>
      </c>
      <c r="C296" s="99">
        <v>1</v>
      </c>
      <c r="D296" s="99">
        <f t="shared" si="15"/>
        <v>335</v>
      </c>
      <c r="E296" s="99">
        <f t="shared" si="16"/>
        <v>0</v>
      </c>
      <c r="F296" s="99">
        <f t="shared" si="9"/>
        <v>-1172500</v>
      </c>
      <c r="G296" s="99"/>
      <c r="I296" s="114">
        <f>B422-735892</f>
        <v>-468273</v>
      </c>
    </row>
    <row r="297" spans="1:10">
      <c r="A297" s="99" t="s">
        <v>4971</v>
      </c>
      <c r="B297" s="113">
        <v>-44900</v>
      </c>
      <c r="C297" s="99">
        <v>0</v>
      </c>
      <c r="D297" s="99">
        <f t="shared" si="15"/>
        <v>334</v>
      </c>
      <c r="E297" s="99">
        <f t="shared" si="16"/>
        <v>0</v>
      </c>
      <c r="F297" s="99">
        <f t="shared" si="9"/>
        <v>-14996600</v>
      </c>
      <c r="G297" s="99"/>
    </row>
    <row r="298" spans="1:10">
      <c r="A298" s="99" t="s">
        <v>4971</v>
      </c>
      <c r="B298" s="113">
        <v>-50000</v>
      </c>
      <c r="C298" s="99">
        <v>10</v>
      </c>
      <c r="D298" s="99">
        <f t="shared" si="15"/>
        <v>334</v>
      </c>
      <c r="E298" s="99">
        <f t="shared" si="16"/>
        <v>0</v>
      </c>
      <c r="F298" s="99">
        <f t="shared" si="9"/>
        <v>-16700000</v>
      </c>
      <c r="G298" s="99" t="s">
        <v>506</v>
      </c>
    </row>
    <row r="299" spans="1:10">
      <c r="A299" s="99" t="s">
        <v>4991</v>
      </c>
      <c r="B299" s="113">
        <v>-19850</v>
      </c>
      <c r="C299" s="99">
        <v>1</v>
      </c>
      <c r="D299" s="99">
        <f t="shared" si="15"/>
        <v>324</v>
      </c>
      <c r="E299" s="99">
        <f t="shared" si="16"/>
        <v>0</v>
      </c>
      <c r="F299" s="99">
        <f t="shared" si="9"/>
        <v>-6431400</v>
      </c>
      <c r="G299" s="99"/>
    </row>
    <row r="300" spans="1:10">
      <c r="A300" s="99" t="s">
        <v>4992</v>
      </c>
      <c r="B300" s="113">
        <v>-39770</v>
      </c>
      <c r="C300" s="99">
        <v>6</v>
      </c>
      <c r="D300" s="99">
        <f t="shared" si="15"/>
        <v>323</v>
      </c>
      <c r="E300" s="99">
        <f t="shared" si="16"/>
        <v>0</v>
      </c>
      <c r="F300" s="99">
        <f t="shared" si="9"/>
        <v>-12845710</v>
      </c>
      <c r="G300" s="99"/>
    </row>
    <row r="301" spans="1:10">
      <c r="A301" s="99" t="s">
        <v>5014</v>
      </c>
      <c r="B301" s="113">
        <v>-40000</v>
      </c>
      <c r="C301" s="99">
        <v>71</v>
      </c>
      <c r="D301" s="99">
        <f t="shared" si="15"/>
        <v>317</v>
      </c>
      <c r="E301" s="99">
        <f t="shared" si="16"/>
        <v>1</v>
      </c>
      <c r="F301" s="99">
        <f t="shared" si="9"/>
        <v>-12640000</v>
      </c>
      <c r="G301" s="99"/>
    </row>
    <row r="302" spans="1:10">
      <c r="A302" s="99" t="s">
        <v>5123</v>
      </c>
      <c r="B302" s="113">
        <v>4000000</v>
      </c>
      <c r="C302" s="99">
        <v>1</v>
      </c>
      <c r="D302" s="99">
        <f t="shared" si="15"/>
        <v>246</v>
      </c>
      <c r="E302" s="99">
        <f t="shared" si="16"/>
        <v>0</v>
      </c>
      <c r="F302" s="99">
        <f t="shared" si="9"/>
        <v>984000000</v>
      </c>
      <c r="G302" s="99"/>
    </row>
    <row r="303" spans="1:10">
      <c r="A303" s="99" t="s">
        <v>5127</v>
      </c>
      <c r="B303" s="113">
        <v>-123860</v>
      </c>
      <c r="C303" s="99">
        <v>1</v>
      </c>
      <c r="D303" s="99">
        <f t="shared" si="15"/>
        <v>245</v>
      </c>
      <c r="E303" s="99">
        <f t="shared" si="16"/>
        <v>0</v>
      </c>
      <c r="F303" s="99">
        <f t="shared" si="9"/>
        <v>-30345700</v>
      </c>
      <c r="G303" s="99"/>
    </row>
    <row r="304" spans="1:10">
      <c r="A304" s="99" t="s">
        <v>5089</v>
      </c>
      <c r="B304" s="113">
        <v>-1660000</v>
      </c>
      <c r="C304" s="99">
        <v>1</v>
      </c>
      <c r="D304" s="99">
        <f t="shared" si="15"/>
        <v>244</v>
      </c>
      <c r="E304" s="99">
        <f t="shared" si="16"/>
        <v>0</v>
      </c>
      <c r="F304" s="99">
        <f t="shared" si="9"/>
        <v>-405040000</v>
      </c>
      <c r="G304" s="99"/>
    </row>
    <row r="305" spans="1:11">
      <c r="A305" s="99" t="s">
        <v>5133</v>
      </c>
      <c r="B305" s="113">
        <v>-63857</v>
      </c>
      <c r="C305" s="99">
        <v>0</v>
      </c>
      <c r="D305" s="99">
        <f t="shared" si="15"/>
        <v>243</v>
      </c>
      <c r="E305" s="99">
        <f t="shared" si="16"/>
        <v>0</v>
      </c>
      <c r="F305" s="99">
        <f t="shared" si="9"/>
        <v>-15517251</v>
      </c>
      <c r="G305" s="99"/>
    </row>
    <row r="306" spans="1:11">
      <c r="A306" s="99" t="s">
        <v>5135</v>
      </c>
      <c r="B306" s="113">
        <v>-631</v>
      </c>
      <c r="C306" s="99">
        <v>2</v>
      </c>
      <c r="D306" s="99">
        <f t="shared" si="15"/>
        <v>243</v>
      </c>
      <c r="E306" s="99">
        <f t="shared" si="16"/>
        <v>0</v>
      </c>
      <c r="F306" s="99">
        <f t="shared" si="9"/>
        <v>-153333</v>
      </c>
      <c r="G306" s="99" t="s">
        <v>506</v>
      </c>
      <c r="J306" t="s">
        <v>25</v>
      </c>
    </row>
    <row r="307" spans="1:11">
      <c r="A307" s="99" t="s">
        <v>5139</v>
      </c>
      <c r="B307" s="113">
        <v>-248905</v>
      </c>
      <c r="C307" s="99">
        <v>2</v>
      </c>
      <c r="D307" s="99">
        <f t="shared" ref="D307:D318" si="17">D308+C307</f>
        <v>241</v>
      </c>
      <c r="E307" s="99">
        <f t="shared" ref="E307:E318" si="18">IF(B308&gt;0,1,0)</f>
        <v>0</v>
      </c>
      <c r="F307" s="99">
        <f t="shared" si="9"/>
        <v>-59986105</v>
      </c>
      <c r="G307" s="99"/>
    </row>
    <row r="308" spans="1:11">
      <c r="A308" s="99" t="s">
        <v>5137</v>
      </c>
      <c r="B308" s="113">
        <v>-200000</v>
      </c>
      <c r="C308" s="99">
        <v>0</v>
      </c>
      <c r="D308" s="99">
        <f t="shared" si="17"/>
        <v>239</v>
      </c>
      <c r="E308" s="99">
        <f t="shared" si="18"/>
        <v>0</v>
      </c>
      <c r="F308" s="99">
        <f t="shared" si="9"/>
        <v>-47800000</v>
      </c>
      <c r="G308" s="99"/>
    </row>
    <row r="309" spans="1:11">
      <c r="A309" s="99" t="s">
        <v>5137</v>
      </c>
      <c r="B309" s="113">
        <v>-200000</v>
      </c>
      <c r="C309" s="99">
        <v>3</v>
      </c>
      <c r="D309" s="99">
        <f t="shared" si="17"/>
        <v>239</v>
      </c>
      <c r="E309" s="99">
        <f t="shared" si="18"/>
        <v>0</v>
      </c>
      <c r="F309" s="99">
        <f t="shared" si="9"/>
        <v>-47800000</v>
      </c>
      <c r="G309" s="99"/>
    </row>
    <row r="310" spans="1:11">
      <c r="A310" s="99" t="s">
        <v>5144</v>
      </c>
      <c r="B310" s="113">
        <v>-832590</v>
      </c>
      <c r="C310" s="99">
        <v>0</v>
      </c>
      <c r="D310" s="99">
        <f t="shared" si="17"/>
        <v>236</v>
      </c>
      <c r="E310" s="99">
        <f t="shared" si="18"/>
        <v>0</v>
      </c>
      <c r="F310" s="99">
        <f t="shared" si="9"/>
        <v>-196491240</v>
      </c>
      <c r="G310" s="99"/>
    </row>
    <row r="311" spans="1:11">
      <c r="A311" s="99" t="s">
        <v>5144</v>
      </c>
      <c r="B311" s="113">
        <v>-29950</v>
      </c>
      <c r="C311" s="99">
        <v>1</v>
      </c>
      <c r="D311" s="99">
        <f t="shared" si="17"/>
        <v>236</v>
      </c>
      <c r="E311" s="99">
        <f t="shared" si="18"/>
        <v>0</v>
      </c>
      <c r="F311" s="99">
        <f t="shared" si="9"/>
        <v>-7068200</v>
      </c>
      <c r="G311" s="99"/>
      <c r="K311" t="s">
        <v>25</v>
      </c>
    </row>
    <row r="312" spans="1:11">
      <c r="A312" s="99" t="s">
        <v>5186</v>
      </c>
      <c r="B312" s="113">
        <v>-8500</v>
      </c>
      <c r="C312" s="99">
        <v>1</v>
      </c>
      <c r="D312" s="99">
        <f t="shared" si="17"/>
        <v>235</v>
      </c>
      <c r="E312" s="99">
        <f t="shared" si="18"/>
        <v>0</v>
      </c>
      <c r="F312" s="99">
        <f t="shared" si="9"/>
        <v>-1997500</v>
      </c>
      <c r="G312" s="99"/>
    </row>
    <row r="313" spans="1:11">
      <c r="A313" s="99" t="s">
        <v>5162</v>
      </c>
      <c r="B313" s="113">
        <v>-116300</v>
      </c>
      <c r="C313" s="99">
        <v>1</v>
      </c>
      <c r="D313" s="99">
        <f t="shared" si="17"/>
        <v>234</v>
      </c>
      <c r="E313" s="99">
        <f t="shared" si="18"/>
        <v>0</v>
      </c>
      <c r="F313" s="99">
        <f t="shared" si="9"/>
        <v>-27214200</v>
      </c>
      <c r="G313" s="99"/>
    </row>
    <row r="314" spans="1:11">
      <c r="A314" s="99" t="s">
        <v>5147</v>
      </c>
      <c r="B314" s="113">
        <v>-75500</v>
      </c>
      <c r="C314" s="99">
        <v>1</v>
      </c>
      <c r="D314" s="99">
        <f t="shared" si="17"/>
        <v>233</v>
      </c>
      <c r="E314" s="99">
        <f t="shared" si="18"/>
        <v>0</v>
      </c>
      <c r="F314" s="99">
        <f t="shared" ref="F314:F331" si="19">B314*(D314-E314)</f>
        <v>-17591500</v>
      </c>
      <c r="G314" s="99"/>
    </row>
    <row r="315" spans="1:11">
      <c r="A315" s="99" t="s">
        <v>5157</v>
      </c>
      <c r="B315" s="113">
        <v>-331250</v>
      </c>
      <c r="C315" s="99">
        <v>2</v>
      </c>
      <c r="D315" s="99">
        <f t="shared" si="17"/>
        <v>232</v>
      </c>
      <c r="E315" s="99">
        <f t="shared" si="18"/>
        <v>0</v>
      </c>
      <c r="F315" s="99">
        <f t="shared" si="19"/>
        <v>-76850000</v>
      </c>
      <c r="G315" s="99"/>
    </row>
    <row r="316" spans="1:11">
      <c r="A316" s="99" t="s">
        <v>5187</v>
      </c>
      <c r="B316" s="113">
        <v>-39000</v>
      </c>
      <c r="C316" s="99">
        <v>1</v>
      </c>
      <c r="D316" s="99">
        <f t="shared" si="17"/>
        <v>230</v>
      </c>
      <c r="E316" s="99">
        <f t="shared" si="18"/>
        <v>0</v>
      </c>
      <c r="F316" s="99">
        <f t="shared" si="19"/>
        <v>-8970000</v>
      </c>
      <c r="G316" s="99"/>
      <c r="I316" s="114"/>
    </row>
    <row r="317" spans="1:11">
      <c r="A317" s="99" t="s">
        <v>5159</v>
      </c>
      <c r="B317" s="113">
        <v>-44000</v>
      </c>
      <c r="C317" s="99">
        <v>3</v>
      </c>
      <c r="D317" s="99">
        <f t="shared" si="17"/>
        <v>229</v>
      </c>
      <c r="E317" s="99">
        <f t="shared" si="18"/>
        <v>0</v>
      </c>
      <c r="F317" s="99">
        <f t="shared" si="19"/>
        <v>-10076000</v>
      </c>
      <c r="G317" s="99"/>
      <c r="J317" t="s">
        <v>25</v>
      </c>
    </row>
    <row r="318" spans="1:11">
      <c r="A318" s="99" t="s">
        <v>5105</v>
      </c>
      <c r="B318" s="113">
        <v>-30476</v>
      </c>
      <c r="C318" s="99">
        <v>1</v>
      </c>
      <c r="D318" s="99">
        <f t="shared" si="17"/>
        <v>226</v>
      </c>
      <c r="E318" s="99">
        <f t="shared" si="18"/>
        <v>0</v>
      </c>
      <c r="F318" s="99">
        <f t="shared" si="19"/>
        <v>-6887576</v>
      </c>
      <c r="G318" s="99"/>
    </row>
    <row r="319" spans="1:11">
      <c r="A319" s="99" t="s">
        <v>5165</v>
      </c>
      <c r="B319" s="113">
        <v>-4000</v>
      </c>
      <c r="C319" s="99">
        <v>11</v>
      </c>
      <c r="D319" s="99">
        <f t="shared" ref="D319:D326" si="20">D320+C319</f>
        <v>225</v>
      </c>
      <c r="E319" s="99">
        <f t="shared" ref="E319:E326" si="21">IF(B320&gt;0,1,0)</f>
        <v>1</v>
      </c>
      <c r="F319" s="99">
        <f t="shared" si="19"/>
        <v>-896000</v>
      </c>
      <c r="G319" s="99"/>
    </row>
    <row r="320" spans="1:11">
      <c r="A320" s="99" t="s">
        <v>5188</v>
      </c>
      <c r="B320" s="113">
        <v>6300000</v>
      </c>
      <c r="C320" s="99">
        <v>1</v>
      </c>
      <c r="D320" s="99">
        <f t="shared" si="20"/>
        <v>214</v>
      </c>
      <c r="E320" s="99">
        <f t="shared" si="21"/>
        <v>0</v>
      </c>
      <c r="F320" s="99">
        <f t="shared" si="19"/>
        <v>1348200000</v>
      </c>
      <c r="G320" s="99"/>
    </row>
    <row r="321" spans="1:9">
      <c r="A321" s="99" t="s">
        <v>5212</v>
      </c>
      <c r="B321" s="113">
        <v>-6000000</v>
      </c>
      <c r="C321" s="99">
        <v>2</v>
      </c>
      <c r="D321" s="99">
        <f t="shared" si="20"/>
        <v>213</v>
      </c>
      <c r="E321" s="99">
        <f t="shared" si="21"/>
        <v>0</v>
      </c>
      <c r="F321" s="99">
        <f t="shared" si="19"/>
        <v>-1278000000</v>
      </c>
      <c r="G321" s="99"/>
    </row>
    <row r="322" spans="1:9">
      <c r="A322" s="99" t="s">
        <v>5210</v>
      </c>
      <c r="B322" s="113">
        <v>-295000</v>
      </c>
      <c r="C322" s="99">
        <v>0</v>
      </c>
      <c r="D322" s="99">
        <f t="shared" si="20"/>
        <v>211</v>
      </c>
      <c r="E322" s="99">
        <f t="shared" si="21"/>
        <v>1</v>
      </c>
      <c r="F322" s="99">
        <f t="shared" si="19"/>
        <v>-61950000</v>
      </c>
      <c r="G322" s="99"/>
    </row>
    <row r="323" spans="1:9">
      <c r="A323" s="99" t="s">
        <v>5210</v>
      </c>
      <c r="B323" s="113">
        <v>483</v>
      </c>
      <c r="C323" s="99">
        <v>8</v>
      </c>
      <c r="D323" s="99">
        <f t="shared" si="20"/>
        <v>211</v>
      </c>
      <c r="E323" s="99">
        <f t="shared" si="21"/>
        <v>1</v>
      </c>
      <c r="F323" s="99">
        <f t="shared" si="19"/>
        <v>101430</v>
      </c>
      <c r="G323" s="99" t="s">
        <v>693</v>
      </c>
      <c r="I323" t="s">
        <v>25</v>
      </c>
    </row>
    <row r="324" spans="1:9">
      <c r="A324" s="99" t="s">
        <v>5229</v>
      </c>
      <c r="B324" s="113">
        <v>1700000</v>
      </c>
      <c r="C324" s="99">
        <v>0</v>
      </c>
      <c r="D324" s="99">
        <f t="shared" si="20"/>
        <v>203</v>
      </c>
      <c r="E324" s="99">
        <f t="shared" si="21"/>
        <v>0</v>
      </c>
      <c r="F324" s="99">
        <f t="shared" si="19"/>
        <v>345100000</v>
      </c>
      <c r="G324" s="99"/>
    </row>
    <row r="325" spans="1:9">
      <c r="A325" s="99" t="s">
        <v>5229</v>
      </c>
      <c r="B325" s="113">
        <v>-53000</v>
      </c>
      <c r="C325" s="99">
        <v>1</v>
      </c>
      <c r="D325" s="99">
        <f t="shared" si="20"/>
        <v>203</v>
      </c>
      <c r="E325" s="99">
        <f t="shared" si="21"/>
        <v>0</v>
      </c>
      <c r="F325" s="99">
        <f t="shared" si="19"/>
        <v>-10759000</v>
      </c>
      <c r="G325" s="99"/>
    </row>
    <row r="326" spans="1:9">
      <c r="A326" s="99" t="s">
        <v>5230</v>
      </c>
      <c r="B326" s="113">
        <v>-1300000</v>
      </c>
      <c r="C326" s="99">
        <v>0</v>
      </c>
      <c r="D326" s="99">
        <f t="shared" si="20"/>
        <v>202</v>
      </c>
      <c r="E326" s="99">
        <f t="shared" si="21"/>
        <v>0</v>
      </c>
      <c r="F326" s="99">
        <f t="shared" si="19"/>
        <v>-262600000</v>
      </c>
      <c r="G326" s="99"/>
      <c r="I326" t="s">
        <v>25</v>
      </c>
    </row>
    <row r="327" spans="1:9">
      <c r="A327" s="99" t="s">
        <v>5230</v>
      </c>
      <c r="B327" s="113">
        <v>-41500</v>
      </c>
      <c r="C327" s="99">
        <v>1</v>
      </c>
      <c r="D327" s="99">
        <f t="shared" ref="D327:D331" si="22">D328+C327</f>
        <v>202</v>
      </c>
      <c r="E327" s="99">
        <f t="shared" ref="E327:E331" si="23">IF(B328&gt;0,1,0)</f>
        <v>0</v>
      </c>
      <c r="F327" s="99">
        <f t="shared" si="19"/>
        <v>-8383000</v>
      </c>
      <c r="G327" s="99"/>
    </row>
    <row r="328" spans="1:9">
      <c r="A328" s="99" t="s">
        <v>5233</v>
      </c>
      <c r="B328" s="113">
        <v>-57700</v>
      </c>
      <c r="C328" s="99">
        <v>3</v>
      </c>
      <c r="D328" s="99">
        <f t="shared" si="22"/>
        <v>201</v>
      </c>
      <c r="E328" s="99">
        <f t="shared" si="23"/>
        <v>0</v>
      </c>
      <c r="F328" s="99">
        <f t="shared" si="19"/>
        <v>-11597700</v>
      </c>
      <c r="G328" s="99"/>
    </row>
    <row r="329" spans="1:9">
      <c r="A329" s="99" t="s">
        <v>5236</v>
      </c>
      <c r="B329" s="113">
        <v>-5600</v>
      </c>
      <c r="C329" s="99">
        <v>1</v>
      </c>
      <c r="D329" s="99">
        <f t="shared" si="22"/>
        <v>198</v>
      </c>
      <c r="E329" s="99">
        <f t="shared" si="23"/>
        <v>0</v>
      </c>
      <c r="F329" s="99">
        <f t="shared" si="19"/>
        <v>-1108800</v>
      </c>
      <c r="G329" s="99"/>
    </row>
    <row r="330" spans="1:9">
      <c r="A330" s="99" t="s">
        <v>5238</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5249</v>
      </c>
      <c r="B333" s="113">
        <v>-78508</v>
      </c>
      <c r="C333" s="99">
        <v>2</v>
      </c>
      <c r="D333" s="99">
        <f t="shared" si="24"/>
        <v>193</v>
      </c>
      <c r="E333" s="99">
        <f t="shared" si="25"/>
        <v>0</v>
      </c>
      <c r="F333" s="99">
        <f t="shared" si="26"/>
        <v>-15152044</v>
      </c>
      <c r="G333" s="99"/>
    </row>
    <row r="334" spans="1:9">
      <c r="A334" s="99" t="s">
        <v>5250</v>
      </c>
      <c r="B334" s="113">
        <v>-2000</v>
      </c>
      <c r="C334" s="99">
        <v>4</v>
      </c>
      <c r="D334" s="99">
        <f t="shared" ref="D334:D352" si="27">D335+C334</f>
        <v>191</v>
      </c>
      <c r="E334" s="99">
        <f t="shared" ref="E334:E352" si="28">IF(B335&gt;0,1,0)</f>
        <v>1</v>
      </c>
      <c r="F334" s="99">
        <f t="shared" ref="F334:F352" si="29">B334*(D334-E334)</f>
        <v>-380000</v>
      </c>
      <c r="G334" s="99"/>
    </row>
    <row r="335" spans="1:9">
      <c r="A335" s="99" t="s">
        <v>5253</v>
      </c>
      <c r="B335" s="113">
        <v>2200472</v>
      </c>
      <c r="C335" s="99">
        <v>1</v>
      </c>
      <c r="D335" s="99">
        <f t="shared" si="27"/>
        <v>187</v>
      </c>
      <c r="E335" s="99">
        <f t="shared" si="28"/>
        <v>0</v>
      </c>
      <c r="F335" s="99">
        <f t="shared" si="29"/>
        <v>411488264</v>
      </c>
      <c r="G335" s="99"/>
      <c r="H335" t="s">
        <v>25</v>
      </c>
    </row>
    <row r="336" spans="1:9">
      <c r="A336" s="99" t="s">
        <v>5259</v>
      </c>
      <c r="B336" s="113">
        <v>-28000</v>
      </c>
      <c r="C336" s="99">
        <v>2</v>
      </c>
      <c r="D336" s="99">
        <f t="shared" si="27"/>
        <v>186</v>
      </c>
      <c r="E336" s="99">
        <f t="shared" si="28"/>
        <v>1</v>
      </c>
      <c r="F336" s="99">
        <f t="shared" si="29"/>
        <v>-5180000</v>
      </c>
      <c r="G336" s="99"/>
    </row>
    <row r="337" spans="1:13">
      <c r="A337" s="99" t="s">
        <v>5258</v>
      </c>
      <c r="B337" s="113">
        <v>2500000</v>
      </c>
      <c r="C337" s="99">
        <v>0</v>
      </c>
      <c r="D337" s="99">
        <f t="shared" si="27"/>
        <v>184</v>
      </c>
      <c r="E337" s="99">
        <f t="shared" si="28"/>
        <v>0</v>
      </c>
      <c r="F337" s="99">
        <f t="shared" si="29"/>
        <v>460000000</v>
      </c>
      <c r="G337" s="99"/>
    </row>
    <row r="338" spans="1:13">
      <c r="A338" s="99" t="s">
        <v>5258</v>
      </c>
      <c r="B338" s="113">
        <v>-407500</v>
      </c>
      <c r="C338" s="99">
        <v>2</v>
      </c>
      <c r="D338" s="99">
        <f t="shared" si="27"/>
        <v>184</v>
      </c>
      <c r="E338" s="99">
        <f t="shared" si="28"/>
        <v>0</v>
      </c>
      <c r="F338" s="99">
        <f t="shared" si="29"/>
        <v>-74980000</v>
      </c>
      <c r="G338" s="99"/>
    </row>
    <row r="339" spans="1:13">
      <c r="A339" s="99" t="s">
        <v>5260</v>
      </c>
      <c r="B339" s="113">
        <v>-3600</v>
      </c>
      <c r="C339" s="99">
        <v>1</v>
      </c>
      <c r="D339" s="99">
        <f t="shared" si="27"/>
        <v>182</v>
      </c>
      <c r="E339" s="99">
        <f t="shared" si="28"/>
        <v>0</v>
      </c>
      <c r="F339" s="99">
        <f t="shared" si="29"/>
        <v>-655200</v>
      </c>
      <c r="G339" s="99"/>
    </row>
    <row r="340" spans="1:13">
      <c r="A340" s="99" t="s">
        <v>5266</v>
      </c>
      <c r="B340" s="113">
        <v>-170094</v>
      </c>
      <c r="C340" s="99">
        <v>1</v>
      </c>
      <c r="D340" s="99">
        <f t="shared" si="27"/>
        <v>181</v>
      </c>
      <c r="E340" s="99">
        <f t="shared" si="28"/>
        <v>0</v>
      </c>
      <c r="F340" s="99">
        <f t="shared" si="29"/>
        <v>-30787014</v>
      </c>
      <c r="G340" s="99"/>
      <c r="J340" t="s">
        <v>25</v>
      </c>
    </row>
    <row r="341" spans="1:13">
      <c r="A341" s="99" t="s">
        <v>5261</v>
      </c>
      <c r="B341" s="113">
        <v>-51730</v>
      </c>
      <c r="C341" s="99">
        <v>1</v>
      </c>
      <c r="D341" s="99">
        <f t="shared" si="27"/>
        <v>180</v>
      </c>
      <c r="E341" s="99">
        <f t="shared" si="28"/>
        <v>0</v>
      </c>
      <c r="F341" s="99">
        <f t="shared" si="29"/>
        <v>-9311400</v>
      </c>
      <c r="G341" s="99"/>
    </row>
    <row r="342" spans="1:13">
      <c r="A342" s="99" t="s">
        <v>5267</v>
      </c>
      <c r="B342" s="113">
        <v>-200000</v>
      </c>
      <c r="C342" s="99">
        <v>2</v>
      </c>
      <c r="D342" s="99">
        <f t="shared" si="27"/>
        <v>179</v>
      </c>
      <c r="E342" s="99">
        <f t="shared" si="28"/>
        <v>0</v>
      </c>
      <c r="F342" s="99">
        <f t="shared" si="29"/>
        <v>-35800000</v>
      </c>
      <c r="G342" s="99"/>
    </row>
    <row r="343" spans="1:13">
      <c r="A343" s="99" t="s">
        <v>5228</v>
      </c>
      <c r="B343" s="113">
        <v>-3000000</v>
      </c>
      <c r="C343" s="99">
        <v>0</v>
      </c>
      <c r="D343" s="99">
        <f t="shared" si="27"/>
        <v>177</v>
      </c>
      <c r="E343" s="99">
        <f t="shared" si="28"/>
        <v>0</v>
      </c>
      <c r="F343" s="99">
        <f t="shared" si="29"/>
        <v>-531000000</v>
      </c>
      <c r="G343" s="99"/>
    </row>
    <row r="344" spans="1:13">
      <c r="A344" s="99" t="s">
        <v>5228</v>
      </c>
      <c r="B344" s="113">
        <v>-39726</v>
      </c>
      <c r="C344" s="99">
        <v>1</v>
      </c>
      <c r="D344" s="99">
        <f t="shared" si="27"/>
        <v>177</v>
      </c>
      <c r="E344" s="99">
        <f t="shared" si="28"/>
        <v>0</v>
      </c>
      <c r="F344" s="99">
        <f t="shared" si="29"/>
        <v>-7031502</v>
      </c>
      <c r="G344" s="99"/>
      <c r="M344" t="s">
        <v>25</v>
      </c>
    </row>
    <row r="345" spans="1:13">
      <c r="A345" s="99" t="s">
        <v>5269</v>
      </c>
      <c r="B345" s="113">
        <v>-566500</v>
      </c>
      <c r="C345" s="99">
        <v>1</v>
      </c>
      <c r="D345" s="99">
        <f t="shared" si="27"/>
        <v>176</v>
      </c>
      <c r="E345" s="99">
        <f t="shared" si="28"/>
        <v>0</v>
      </c>
      <c r="F345" s="99">
        <f t="shared" si="29"/>
        <v>-99704000</v>
      </c>
      <c r="G345" s="99"/>
      <c r="K345" t="s">
        <v>25</v>
      </c>
    </row>
    <row r="346" spans="1:13">
      <c r="A346" s="99" t="s">
        <v>5270</v>
      </c>
      <c r="B346" s="113">
        <v>-300000</v>
      </c>
      <c r="C346" s="99">
        <v>22</v>
      </c>
      <c r="D346" s="99">
        <f t="shared" si="27"/>
        <v>175</v>
      </c>
      <c r="E346" s="99">
        <f t="shared" si="28"/>
        <v>1</v>
      </c>
      <c r="F346" s="99">
        <f t="shared" si="29"/>
        <v>-52200000</v>
      </c>
      <c r="G346" s="99"/>
      <c r="J346" t="s">
        <v>25</v>
      </c>
    </row>
    <row r="347" spans="1:13">
      <c r="A347" s="99" t="s">
        <v>5293</v>
      </c>
      <c r="B347" s="113">
        <v>700000</v>
      </c>
      <c r="C347" s="99">
        <v>1</v>
      </c>
      <c r="D347" s="99">
        <f t="shared" si="27"/>
        <v>153</v>
      </c>
      <c r="E347" s="99">
        <f t="shared" si="28"/>
        <v>0</v>
      </c>
      <c r="F347" s="99">
        <f t="shared" si="29"/>
        <v>107100000</v>
      </c>
      <c r="G347" s="99"/>
    </row>
    <row r="348" spans="1:13">
      <c r="A348" s="99" t="s">
        <v>5296</v>
      </c>
      <c r="B348" s="113">
        <v>-101000</v>
      </c>
      <c r="C348" s="99">
        <v>1</v>
      </c>
      <c r="D348" s="99">
        <f t="shared" si="27"/>
        <v>152</v>
      </c>
      <c r="E348" s="99">
        <f t="shared" si="28"/>
        <v>0</v>
      </c>
      <c r="F348" s="99">
        <f t="shared" si="29"/>
        <v>-15352000</v>
      </c>
      <c r="G348" s="99"/>
    </row>
    <row r="349" spans="1:13">
      <c r="A349" s="99" t="s">
        <v>5296</v>
      </c>
      <c r="B349" s="113">
        <v>-57245</v>
      </c>
      <c r="C349" s="99">
        <v>1</v>
      </c>
      <c r="D349" s="99">
        <f t="shared" si="27"/>
        <v>151</v>
      </c>
      <c r="E349" s="99">
        <f t="shared" si="28"/>
        <v>0</v>
      </c>
      <c r="F349" s="99">
        <f t="shared" si="29"/>
        <v>-8643995</v>
      </c>
      <c r="G349" s="99"/>
    </row>
    <row r="350" spans="1:13">
      <c r="A350" s="99" t="s">
        <v>5298</v>
      </c>
      <c r="B350" s="113">
        <v>-398700</v>
      </c>
      <c r="C350" s="99">
        <v>2</v>
      </c>
      <c r="D350" s="99">
        <f t="shared" si="27"/>
        <v>150</v>
      </c>
      <c r="E350" s="99">
        <f t="shared" si="28"/>
        <v>0</v>
      </c>
      <c r="F350" s="99">
        <f t="shared" si="29"/>
        <v>-59805000</v>
      </c>
      <c r="G350" s="99"/>
    </row>
    <row r="351" spans="1:13">
      <c r="A351" s="99" t="s">
        <v>5297</v>
      </c>
      <c r="B351" s="113">
        <v>-87010</v>
      </c>
      <c r="C351" s="99">
        <v>5</v>
      </c>
      <c r="D351" s="99">
        <f t="shared" si="27"/>
        <v>148</v>
      </c>
      <c r="E351" s="99">
        <f t="shared" si="28"/>
        <v>0</v>
      </c>
      <c r="F351" s="99">
        <f t="shared" si="29"/>
        <v>-12877480</v>
      </c>
      <c r="G351" s="99"/>
    </row>
    <row r="352" spans="1:13">
      <c r="A352" s="99" t="s">
        <v>5327</v>
      </c>
      <c r="B352" s="113">
        <v>-50000</v>
      </c>
      <c r="C352" s="99">
        <v>28</v>
      </c>
      <c r="D352" s="99">
        <f t="shared" si="27"/>
        <v>143</v>
      </c>
      <c r="E352" s="99">
        <f t="shared" si="28"/>
        <v>1</v>
      </c>
      <c r="F352" s="99">
        <f t="shared" si="29"/>
        <v>-7100000</v>
      </c>
      <c r="G352" s="99"/>
    </row>
    <row r="353" spans="1:12">
      <c r="A353" s="99" t="s">
        <v>5326</v>
      </c>
      <c r="B353" s="113">
        <v>1200000</v>
      </c>
      <c r="C353" s="99">
        <v>0</v>
      </c>
      <c r="D353" s="99">
        <f t="shared" ref="D353:D365" si="30">D354+C353</f>
        <v>115</v>
      </c>
      <c r="E353" s="99">
        <f t="shared" ref="E353:E365" si="31">IF(B354&gt;0,1,0)</f>
        <v>0</v>
      </c>
      <c r="F353" s="99">
        <f t="shared" ref="F353:F365" si="32">B353*(D353-E353)</f>
        <v>138000000</v>
      </c>
      <c r="G353" s="99"/>
    </row>
    <row r="354" spans="1:12">
      <c r="A354" s="99" t="s">
        <v>5326</v>
      </c>
      <c r="B354" s="113">
        <v>-367300</v>
      </c>
      <c r="C354" s="99">
        <v>1</v>
      </c>
      <c r="D354" s="99">
        <f t="shared" si="30"/>
        <v>115</v>
      </c>
      <c r="E354" s="99">
        <f t="shared" si="31"/>
        <v>0</v>
      </c>
      <c r="F354" s="99">
        <f t="shared" si="32"/>
        <v>-42239500</v>
      </c>
      <c r="G354" s="99"/>
    </row>
    <row r="355" spans="1:12">
      <c r="A355" s="99" t="s">
        <v>5328</v>
      </c>
      <c r="B355" s="113">
        <v>-104894</v>
      </c>
      <c r="C355" s="99">
        <v>1</v>
      </c>
      <c r="D355" s="99">
        <f t="shared" si="30"/>
        <v>114</v>
      </c>
      <c r="E355" s="99">
        <f t="shared" si="31"/>
        <v>0</v>
      </c>
      <c r="F355" s="99">
        <f t="shared" si="32"/>
        <v>-11957916</v>
      </c>
      <c r="G355" s="99"/>
    </row>
    <row r="356" spans="1:12">
      <c r="A356" s="99" t="s">
        <v>5329</v>
      </c>
      <c r="B356" s="113">
        <v>-688700</v>
      </c>
      <c r="C356" s="99">
        <v>0</v>
      </c>
      <c r="D356" s="99">
        <f t="shared" si="30"/>
        <v>113</v>
      </c>
      <c r="E356" s="99">
        <f t="shared" si="31"/>
        <v>0</v>
      </c>
      <c r="F356" s="99">
        <f t="shared" si="32"/>
        <v>-77823100</v>
      </c>
      <c r="G356" s="99"/>
    </row>
    <row r="357" spans="1:12">
      <c r="A357" s="99" t="s">
        <v>5329</v>
      </c>
      <c r="B357" s="113">
        <v>-8321</v>
      </c>
      <c r="C357" s="99">
        <v>5</v>
      </c>
      <c r="D357" s="99">
        <f t="shared" si="30"/>
        <v>113</v>
      </c>
      <c r="E357" s="99">
        <f t="shared" si="31"/>
        <v>1</v>
      </c>
      <c r="F357" s="99">
        <f t="shared" si="32"/>
        <v>-931952</v>
      </c>
      <c r="G357" s="99"/>
      <c r="J357" t="s">
        <v>25</v>
      </c>
    </row>
    <row r="358" spans="1:12">
      <c r="A358" s="99" t="s">
        <v>5339</v>
      </c>
      <c r="B358" s="113">
        <v>1000000</v>
      </c>
      <c r="C358" s="99">
        <v>0</v>
      </c>
      <c r="D358" s="99">
        <f t="shared" si="30"/>
        <v>108</v>
      </c>
      <c r="E358" s="99">
        <f t="shared" si="31"/>
        <v>0</v>
      </c>
      <c r="F358" s="99">
        <f t="shared" si="32"/>
        <v>108000000</v>
      </c>
      <c r="G358" s="99"/>
    </row>
    <row r="359" spans="1:12">
      <c r="A359" s="99" t="s">
        <v>5339</v>
      </c>
      <c r="B359" s="113">
        <v>-127644</v>
      </c>
      <c r="C359" s="99">
        <v>1</v>
      </c>
      <c r="D359" s="99">
        <f t="shared" si="30"/>
        <v>108</v>
      </c>
      <c r="E359" s="99">
        <f t="shared" si="31"/>
        <v>0</v>
      </c>
      <c r="F359" s="99">
        <f t="shared" si="32"/>
        <v>-13785552</v>
      </c>
      <c r="G359" s="99"/>
    </row>
    <row r="360" spans="1:12">
      <c r="A360" s="99" t="s">
        <v>5340</v>
      </c>
      <c r="B360" s="113">
        <v>-418000</v>
      </c>
      <c r="C360" s="99">
        <v>4</v>
      </c>
      <c r="D360" s="99">
        <f t="shared" si="30"/>
        <v>107</v>
      </c>
      <c r="E360" s="99">
        <f t="shared" si="31"/>
        <v>0</v>
      </c>
      <c r="F360" s="99">
        <f t="shared" si="32"/>
        <v>-44726000</v>
      </c>
      <c r="G360" s="99"/>
    </row>
    <row r="361" spans="1:12">
      <c r="A361" s="99" t="s">
        <v>5344</v>
      </c>
      <c r="B361" s="113">
        <v>-183136</v>
      </c>
      <c r="C361" s="99">
        <v>2</v>
      </c>
      <c r="D361" s="99">
        <f t="shared" si="30"/>
        <v>103</v>
      </c>
      <c r="E361" s="99">
        <f t="shared" si="31"/>
        <v>0</v>
      </c>
      <c r="F361" s="99">
        <f t="shared" si="32"/>
        <v>-18863008</v>
      </c>
      <c r="G361" s="99"/>
      <c r="L361" t="s">
        <v>25</v>
      </c>
    </row>
    <row r="362" spans="1:12">
      <c r="A362" s="99" t="s">
        <v>5376</v>
      </c>
      <c r="B362" s="113">
        <v>-18600</v>
      </c>
      <c r="C362" s="99">
        <v>2</v>
      </c>
      <c r="D362" s="99">
        <f t="shared" si="30"/>
        <v>101</v>
      </c>
      <c r="E362" s="99">
        <f t="shared" si="31"/>
        <v>0</v>
      </c>
      <c r="F362" s="99">
        <f t="shared" si="32"/>
        <v>-1878600</v>
      </c>
      <c r="G362" s="99"/>
    </row>
    <row r="363" spans="1:12">
      <c r="A363" s="99" t="s">
        <v>5356</v>
      </c>
      <c r="B363" s="113">
        <v>-90000</v>
      </c>
      <c r="C363" s="99">
        <v>1</v>
      </c>
      <c r="D363" s="99">
        <f t="shared" si="30"/>
        <v>99</v>
      </c>
      <c r="E363" s="99">
        <f t="shared" si="31"/>
        <v>0</v>
      </c>
      <c r="F363" s="99">
        <f t="shared" si="32"/>
        <v>-8910000</v>
      </c>
      <c r="G363" s="99"/>
    </row>
    <row r="364" spans="1:12">
      <c r="A364" s="99" t="s">
        <v>5357</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5360</v>
      </c>
      <c r="B368" s="113">
        <v>3500000</v>
      </c>
      <c r="C368" s="99">
        <v>3</v>
      </c>
      <c r="D368" s="99">
        <f t="shared" si="33"/>
        <v>96</v>
      </c>
      <c r="E368" s="99">
        <f t="shared" si="34"/>
        <v>0</v>
      </c>
      <c r="F368" s="99">
        <f t="shared" si="35"/>
        <v>336000000</v>
      </c>
      <c r="G368" s="99"/>
    </row>
    <row r="369" spans="1:11">
      <c r="A369" s="99" t="s">
        <v>5363</v>
      </c>
      <c r="B369" s="113">
        <v>-93800</v>
      </c>
      <c r="C369" s="99">
        <v>1</v>
      </c>
      <c r="D369" s="99">
        <f t="shared" si="33"/>
        <v>93</v>
      </c>
      <c r="E369" s="99">
        <f t="shared" si="34"/>
        <v>0</v>
      </c>
      <c r="F369" s="99">
        <f t="shared" si="35"/>
        <v>-8723400</v>
      </c>
      <c r="G369" s="99"/>
    </row>
    <row r="370" spans="1:11">
      <c r="A370" s="99" t="s">
        <v>5365</v>
      </c>
      <c r="B370" s="113">
        <v>-815500</v>
      </c>
      <c r="C370" s="99">
        <v>1</v>
      </c>
      <c r="D370" s="99">
        <f t="shared" si="33"/>
        <v>92</v>
      </c>
      <c r="E370" s="99">
        <f t="shared" si="34"/>
        <v>0</v>
      </c>
      <c r="F370" s="99">
        <f t="shared" si="35"/>
        <v>-75026000</v>
      </c>
      <c r="G370" s="99"/>
    </row>
    <row r="371" spans="1:11">
      <c r="A371" s="99" t="s">
        <v>5368</v>
      </c>
      <c r="B371" s="113">
        <v>-2096840</v>
      </c>
      <c r="C371" s="99">
        <v>0</v>
      </c>
      <c r="D371" s="99">
        <f t="shared" si="33"/>
        <v>91</v>
      </c>
      <c r="E371" s="99">
        <f t="shared" si="34"/>
        <v>1</v>
      </c>
      <c r="F371" s="99">
        <f t="shared" si="35"/>
        <v>-188715600</v>
      </c>
      <c r="G371" s="99"/>
    </row>
    <row r="372" spans="1:11">
      <c r="A372" s="99" t="s">
        <v>5368</v>
      </c>
      <c r="B372" s="113">
        <v>533</v>
      </c>
      <c r="C372" s="99">
        <v>1</v>
      </c>
      <c r="D372" s="99">
        <f t="shared" si="33"/>
        <v>91</v>
      </c>
      <c r="E372" s="99">
        <f t="shared" si="34"/>
        <v>1</v>
      </c>
      <c r="F372" s="99">
        <f t="shared" si="35"/>
        <v>47970</v>
      </c>
      <c r="G372" s="99"/>
      <c r="J372" t="s">
        <v>25</v>
      </c>
    </row>
    <row r="373" spans="1:11">
      <c r="A373" s="99" t="s">
        <v>5372</v>
      </c>
      <c r="B373" s="113">
        <v>4100000</v>
      </c>
      <c r="C373" s="99">
        <v>1</v>
      </c>
      <c r="D373" s="99">
        <f t="shared" si="33"/>
        <v>90</v>
      </c>
      <c r="E373" s="99">
        <f t="shared" si="34"/>
        <v>0</v>
      </c>
      <c r="F373" s="99">
        <f t="shared" si="35"/>
        <v>369000000</v>
      </c>
      <c r="G373" s="99"/>
    </row>
    <row r="374" spans="1:11">
      <c r="A374" s="99" t="s">
        <v>5377</v>
      </c>
      <c r="B374" s="113">
        <v>-3642549</v>
      </c>
      <c r="C374" s="99">
        <v>3</v>
      </c>
      <c r="D374" s="99">
        <f t="shared" si="33"/>
        <v>89</v>
      </c>
      <c r="E374" s="99">
        <f t="shared" si="34"/>
        <v>0</v>
      </c>
      <c r="F374" s="99">
        <f t="shared" si="35"/>
        <v>-324186861</v>
      </c>
      <c r="G374" s="99"/>
    </row>
    <row r="375" spans="1:11">
      <c r="A375" s="99" t="s">
        <v>5388</v>
      </c>
      <c r="B375" s="113">
        <v>-317091</v>
      </c>
      <c r="C375" s="99">
        <v>1</v>
      </c>
      <c r="D375" s="99">
        <f t="shared" si="33"/>
        <v>86</v>
      </c>
      <c r="E375" s="99">
        <f t="shared" si="34"/>
        <v>0</v>
      </c>
      <c r="F375" s="99">
        <f t="shared" si="35"/>
        <v>-27269826</v>
      </c>
      <c r="G375" s="99"/>
    </row>
    <row r="376" spans="1:11">
      <c r="A376" s="99" t="s">
        <v>5380</v>
      </c>
      <c r="B376" s="113">
        <v>-1600000</v>
      </c>
      <c r="C376" s="99">
        <v>1</v>
      </c>
      <c r="D376" s="99">
        <f t="shared" si="33"/>
        <v>85</v>
      </c>
      <c r="E376" s="99">
        <f t="shared" si="34"/>
        <v>0</v>
      </c>
      <c r="F376" s="99">
        <f t="shared" si="35"/>
        <v>-136000000</v>
      </c>
      <c r="G376" s="99"/>
    </row>
    <row r="377" spans="1:11">
      <c r="A377" s="99" t="s">
        <v>5383</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5464</v>
      </c>
      <c r="B379" s="113">
        <v>10000000</v>
      </c>
      <c r="C379" s="99">
        <v>0</v>
      </c>
      <c r="D379" s="99">
        <f t="shared" si="36"/>
        <v>61</v>
      </c>
      <c r="E379" s="99">
        <f t="shared" si="37"/>
        <v>0</v>
      </c>
      <c r="F379" s="99">
        <f t="shared" si="38"/>
        <v>610000000</v>
      </c>
      <c r="G379" s="99"/>
    </row>
    <row r="380" spans="1:11">
      <c r="A380" s="99" t="s">
        <v>5464</v>
      </c>
      <c r="B380" s="113">
        <v>-3000000</v>
      </c>
      <c r="C380" s="99">
        <v>0</v>
      </c>
      <c r="D380" s="99">
        <f t="shared" si="36"/>
        <v>61</v>
      </c>
      <c r="E380" s="99">
        <f t="shared" si="37"/>
        <v>0</v>
      </c>
      <c r="F380" s="99">
        <f t="shared" si="38"/>
        <v>-183000000</v>
      </c>
      <c r="G380" s="99"/>
    </row>
    <row r="381" spans="1:11">
      <c r="A381" s="99" t="s">
        <v>5464</v>
      </c>
      <c r="B381" s="113">
        <v>-3971300</v>
      </c>
      <c r="C381" s="99">
        <v>7</v>
      </c>
      <c r="D381" s="99">
        <f t="shared" si="36"/>
        <v>61</v>
      </c>
      <c r="E381" s="99">
        <f t="shared" si="37"/>
        <v>0</v>
      </c>
      <c r="F381" s="99">
        <f t="shared" si="38"/>
        <v>-242249300</v>
      </c>
      <c r="G381" s="99"/>
    </row>
    <row r="382" spans="1:11">
      <c r="A382" s="99" t="s">
        <v>5485</v>
      </c>
      <c r="B382" s="113">
        <v>-2472422</v>
      </c>
      <c r="C382" s="99">
        <v>2</v>
      </c>
      <c r="D382" s="99">
        <f t="shared" si="36"/>
        <v>54</v>
      </c>
      <c r="E382" s="99">
        <f t="shared" si="37"/>
        <v>0</v>
      </c>
      <c r="F382" s="99">
        <f t="shared" si="38"/>
        <v>-133510788</v>
      </c>
      <c r="G382" s="99"/>
    </row>
    <row r="383" spans="1:11">
      <c r="A383" s="99" t="s">
        <v>5514</v>
      </c>
      <c r="B383" s="113">
        <v>-345000</v>
      </c>
      <c r="C383" s="99">
        <v>1</v>
      </c>
      <c r="D383" s="99">
        <f t="shared" si="36"/>
        <v>52</v>
      </c>
      <c r="E383" s="99">
        <f t="shared" si="37"/>
        <v>0</v>
      </c>
      <c r="F383" s="99">
        <f t="shared" si="38"/>
        <v>-17940000</v>
      </c>
      <c r="G383" s="99"/>
    </row>
    <row r="384" spans="1:11">
      <c r="A384" s="99" t="s">
        <v>5515</v>
      </c>
      <c r="B384" s="113">
        <v>-200000</v>
      </c>
      <c r="C384" s="99">
        <v>10</v>
      </c>
      <c r="D384" s="99">
        <f t="shared" si="36"/>
        <v>51</v>
      </c>
      <c r="E384" s="99">
        <f t="shared" si="37"/>
        <v>1</v>
      </c>
      <c r="F384" s="99">
        <f t="shared" si="38"/>
        <v>-10000000</v>
      </c>
      <c r="G384" s="99"/>
    </row>
    <row r="385" spans="1:10">
      <c r="A385" s="99" t="s">
        <v>5510</v>
      </c>
      <c r="B385" s="113">
        <v>800000</v>
      </c>
      <c r="C385" s="99">
        <v>0</v>
      </c>
      <c r="D385" s="99">
        <f t="shared" si="36"/>
        <v>41</v>
      </c>
      <c r="E385" s="99">
        <f t="shared" si="37"/>
        <v>0</v>
      </c>
      <c r="F385" s="99">
        <f t="shared" si="38"/>
        <v>32800000</v>
      </c>
      <c r="G385" s="99"/>
    </row>
    <row r="386" spans="1:10">
      <c r="A386" s="99" t="s">
        <v>5510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5516</v>
      </c>
      <c r="B389" s="113">
        <v>8000000</v>
      </c>
      <c r="C389" s="99">
        <v>1</v>
      </c>
      <c r="D389" s="99">
        <f t="shared" si="36"/>
        <v>39</v>
      </c>
      <c r="E389" s="99">
        <f t="shared" si="37"/>
        <v>0</v>
      </c>
      <c r="F389" s="99">
        <f t="shared" si="38"/>
        <v>312000000</v>
      </c>
      <c r="G389" s="99"/>
    </row>
    <row r="390" spans="1:10">
      <c r="A390" s="99" t="s">
        <v>5517</v>
      </c>
      <c r="B390" s="113">
        <v>-10000</v>
      </c>
      <c r="C390" s="99">
        <v>1</v>
      </c>
      <c r="D390" s="99">
        <f t="shared" si="36"/>
        <v>38</v>
      </c>
      <c r="E390" s="99">
        <f t="shared" si="37"/>
        <v>0</v>
      </c>
      <c r="F390" s="99">
        <f t="shared" si="38"/>
        <v>-380000</v>
      </c>
      <c r="G390" s="99"/>
    </row>
    <row r="391" spans="1:10">
      <c r="A391" s="99" t="s">
        <v>5518</v>
      </c>
      <c r="B391" s="113">
        <v>-88000</v>
      </c>
      <c r="C391" s="99">
        <v>1</v>
      </c>
      <c r="D391" s="99">
        <f t="shared" si="36"/>
        <v>37</v>
      </c>
      <c r="E391" s="99">
        <f t="shared" si="37"/>
        <v>0</v>
      </c>
      <c r="F391" s="99">
        <f t="shared" si="38"/>
        <v>-3256000</v>
      </c>
      <c r="G391" s="99"/>
    </row>
    <row r="392" spans="1:10">
      <c r="A392" s="99" t="s">
        <v>5519</v>
      </c>
      <c r="B392" s="113">
        <v>-297675</v>
      </c>
      <c r="C392" s="99">
        <v>3</v>
      </c>
      <c r="D392" s="99">
        <f t="shared" si="36"/>
        <v>36</v>
      </c>
      <c r="E392" s="99">
        <f t="shared" si="37"/>
        <v>0</v>
      </c>
      <c r="F392" s="99">
        <f t="shared" si="38"/>
        <v>-10716300</v>
      </c>
      <c r="G392" s="99"/>
    </row>
    <row r="393" spans="1:10">
      <c r="A393" s="99" t="s">
        <v>5511</v>
      </c>
      <c r="B393" s="113">
        <v>-10114121</v>
      </c>
      <c r="C393" s="99">
        <v>1</v>
      </c>
      <c r="D393" s="99">
        <f t="shared" si="36"/>
        <v>33</v>
      </c>
      <c r="E393" s="99">
        <f t="shared" si="37"/>
        <v>0</v>
      </c>
      <c r="F393" s="99">
        <f t="shared" si="38"/>
        <v>-333765993</v>
      </c>
      <c r="G393" s="99"/>
    </row>
    <row r="394" spans="1:10">
      <c r="A394" s="99" t="s">
        <v>5512</v>
      </c>
      <c r="B394" s="113">
        <v>-9000000</v>
      </c>
      <c r="C394" s="99">
        <v>1</v>
      </c>
      <c r="D394" s="99">
        <f t="shared" si="36"/>
        <v>32</v>
      </c>
      <c r="E394" s="99">
        <f t="shared" si="37"/>
        <v>0</v>
      </c>
      <c r="F394" s="99">
        <f t="shared" si="38"/>
        <v>-288000000</v>
      </c>
      <c r="G394" s="99"/>
      <c r="J394" s="114">
        <f>B422-743653+21500</f>
        <v>-454534</v>
      </c>
    </row>
    <row r="395" spans="1:10">
      <c r="A395" s="99" t="s">
        <v>5520</v>
      </c>
      <c r="B395" s="113">
        <v>-83930</v>
      </c>
      <c r="C395" s="99">
        <v>1</v>
      </c>
      <c r="D395" s="99">
        <f t="shared" si="36"/>
        <v>31</v>
      </c>
      <c r="E395" s="99">
        <f t="shared" si="37"/>
        <v>0</v>
      </c>
      <c r="F395" s="99">
        <f t="shared" si="38"/>
        <v>-2601830</v>
      </c>
      <c r="G395" s="99"/>
    </row>
    <row r="396" spans="1:10">
      <c r="A396" s="99" t="s">
        <v>5521</v>
      </c>
      <c r="B396" s="113">
        <v>-19520</v>
      </c>
      <c r="C396" s="99">
        <v>0</v>
      </c>
      <c r="D396" s="99">
        <f t="shared" si="36"/>
        <v>30</v>
      </c>
      <c r="E396" s="99">
        <f t="shared" si="37"/>
        <v>0</v>
      </c>
      <c r="F396" s="99">
        <f t="shared" si="38"/>
        <v>-585600</v>
      </c>
      <c r="G396" s="99"/>
    </row>
    <row r="397" spans="1:10">
      <c r="A397" s="99" t="s">
        <v>5521</v>
      </c>
      <c r="B397" s="113">
        <v>-676034</v>
      </c>
      <c r="C397" s="99">
        <v>27</v>
      </c>
      <c r="D397" s="99">
        <f t="shared" si="36"/>
        <v>30</v>
      </c>
      <c r="E397" s="99">
        <f t="shared" si="37"/>
        <v>1</v>
      </c>
      <c r="F397" s="99">
        <f t="shared" si="38"/>
        <v>-19604986</v>
      </c>
      <c r="G397" s="99"/>
    </row>
    <row r="398" spans="1:10">
      <c r="A398" s="99" t="s">
        <v>5585</v>
      </c>
      <c r="B398" s="113">
        <v>2200000</v>
      </c>
      <c r="C398" s="99">
        <v>2</v>
      </c>
      <c r="D398" s="99">
        <f t="shared" si="36"/>
        <v>3</v>
      </c>
      <c r="E398" s="99">
        <f t="shared" si="37"/>
        <v>0</v>
      </c>
      <c r="F398" s="99">
        <f t="shared" si="38"/>
        <v>6600000</v>
      </c>
      <c r="G398" s="99"/>
    </row>
    <row r="399" spans="1:10">
      <c r="A399" s="99" t="s">
        <v>5591</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5107</v>
      </c>
      <c r="L33" t="s">
        <v>5108</v>
      </c>
      <c r="M33" t="s">
        <v>5109</v>
      </c>
      <c r="N33" t="s">
        <v>5110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5112</v>
      </c>
      <c r="M34" t="s">
        <v>5113</v>
      </c>
      <c r="N34" t="s">
        <v>5111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0"/>
  <sheetViews>
    <sheetView tabSelected="1" topLeftCell="I82"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7514</v>
      </c>
      <c r="O20" s="99" t="s">
        <v>934</v>
      </c>
      <c r="P20" s="99" t="s">
        <v>3925</v>
      </c>
      <c r="Q20" s="169">
        <v>9268987</v>
      </c>
      <c r="R20" s="168" t="s">
        <v>4166</v>
      </c>
      <c r="S20" s="191">
        <f>S90</f>
        <v>584</v>
      </c>
      <c r="T20" s="168" t="s">
        <v>4299</v>
      </c>
      <c r="U20" s="168">
        <v>192.1</v>
      </c>
      <c r="V20" s="168">
        <f t="shared" ref="V20:V52" si="6">U20*(1+$R$86+$Q$15*S20/36500)</f>
        <v>281.08071999999999</v>
      </c>
      <c r="W20" s="32">
        <f t="shared" ref="W20:W26" si="7">V20*(1+$W$19/100)</f>
        <v>286.70233439999998</v>
      </c>
      <c r="X20" s="32">
        <f t="shared" ref="X20:X26" si="8">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-N32</f>
        <v>2926705681.0263333</v>
      </c>
      <c r="M21" s="168" t="s">
        <v>4291</v>
      </c>
      <c r="N21" s="113">
        <f t="shared" ref="N21:N24" si="9">O21*P21</f>
        <v>1401019154.6000001</v>
      </c>
      <c r="O21" s="99">
        <v>1335958</v>
      </c>
      <c r="P21" s="185">
        <f>P48</f>
        <v>1048.7</v>
      </c>
      <c r="Q21" s="169">
        <v>1353959</v>
      </c>
      <c r="R21" s="168" t="s">
        <v>4416</v>
      </c>
      <c r="S21" s="198">
        <f>S20-59</f>
        <v>525</v>
      </c>
      <c r="T21" s="19" t="s">
        <v>4459</v>
      </c>
      <c r="U21" s="168">
        <v>192.2</v>
      </c>
      <c r="V21" s="168">
        <f t="shared" si="6"/>
        <v>272.52801534246578</v>
      </c>
      <c r="W21" s="32">
        <f t="shared" si="7"/>
        <v>277.97857564931508</v>
      </c>
      <c r="X21" s="32">
        <f t="shared" si="8"/>
        <v>283.42913595616443</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277656944.60000002</v>
      </c>
      <c r="O22" s="99">
        <v>22591</v>
      </c>
      <c r="P22" s="185">
        <f>P46</f>
        <v>12290.6</v>
      </c>
      <c r="Q22" s="169">
        <v>1614398</v>
      </c>
      <c r="R22" s="168" t="s">
        <v>4422</v>
      </c>
      <c r="S22" s="168">
        <f>S21-3</f>
        <v>522</v>
      </c>
      <c r="T22" s="19" t="s">
        <v>4492</v>
      </c>
      <c r="U22" s="168">
        <v>184.6</v>
      </c>
      <c r="V22" s="168">
        <f t="shared" si="6"/>
        <v>261.32684054794521</v>
      </c>
      <c r="W22" s="32">
        <f t="shared" si="7"/>
        <v>266.55337735890413</v>
      </c>
      <c r="X22" s="32">
        <f t="shared" si="8"/>
        <v>271.77991416986305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5554</v>
      </c>
      <c r="N23" s="113">
        <f t="shared" si="9"/>
        <v>4389746.3999999994</v>
      </c>
      <c r="O23" s="99">
        <v>3474</v>
      </c>
      <c r="P23" s="185">
        <f>P44</f>
        <v>1263.5999999999999</v>
      </c>
      <c r="Q23" s="169">
        <v>133576</v>
      </c>
      <c r="R23" s="168" t="s">
        <v>4499</v>
      </c>
      <c r="S23" s="197">
        <f>S22-22</f>
        <v>500</v>
      </c>
      <c r="T23" s="168" t="s">
        <v>4500</v>
      </c>
      <c r="U23" s="168">
        <v>166.2</v>
      </c>
      <c r="V23" s="168">
        <f t="shared" si="6"/>
        <v>232.47418520547944</v>
      </c>
      <c r="W23" s="32">
        <f t="shared" si="7"/>
        <v>237.12366890958904</v>
      </c>
      <c r="X23" s="32">
        <f t="shared" si="8"/>
        <v>241.77315261369864</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L62</f>
        <v>2817501357.0263333</v>
      </c>
      <c r="G24" s="95">
        <f t="shared" si="0"/>
        <v>-2537195011.6443949</v>
      </c>
      <c r="H24" s="11"/>
      <c r="I24" s="96"/>
      <c r="J24" s="96"/>
      <c r="K24" s="213"/>
      <c r="L24" s="117"/>
      <c r="M24" s="213" t="s">
        <v>4379</v>
      </c>
      <c r="N24" s="113">
        <f t="shared" si="9"/>
        <v>124847544.60000001</v>
      </c>
      <c r="O24" s="99">
        <v>10146</v>
      </c>
      <c r="P24" s="185">
        <f>P45</f>
        <v>12305.1</v>
      </c>
      <c r="Q24" s="169">
        <v>220803</v>
      </c>
      <c r="R24" s="168" t="s">
        <v>4221</v>
      </c>
      <c r="S24" s="197">
        <f>S23-1</f>
        <v>499</v>
      </c>
      <c r="T24" s="168" t="s">
        <v>4506</v>
      </c>
      <c r="U24" s="168">
        <v>166</v>
      </c>
      <c r="V24" s="168">
        <f t="shared" si="6"/>
        <v>232.06709041095894</v>
      </c>
      <c r="W24" s="32">
        <f t="shared" si="7"/>
        <v>236.70843221917812</v>
      </c>
      <c r="X24" s="32">
        <f t="shared" si="8"/>
        <v>241.3497740273973</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4457</v>
      </c>
      <c r="L25" s="117">
        <f>-'فروردین 98'!D135</f>
        <v>-29886716</v>
      </c>
      <c r="M25" s="168"/>
      <c r="N25" s="113"/>
      <c r="O25" s="69"/>
      <c r="P25" s="99"/>
      <c r="Q25" s="169">
        <v>1023940</v>
      </c>
      <c r="R25" s="168" t="s">
        <v>4507</v>
      </c>
      <c r="S25" s="197">
        <f>S24-2</f>
        <v>497</v>
      </c>
      <c r="T25" s="168" t="s">
        <v>4513</v>
      </c>
      <c r="U25" s="168">
        <v>160.19999999999999</v>
      </c>
      <c r="V25" s="168">
        <f t="shared" si="6"/>
        <v>223.71293589041096</v>
      </c>
      <c r="W25" s="32">
        <f t="shared" si="7"/>
        <v>228.18719460821919</v>
      </c>
      <c r="X25" s="32">
        <f t="shared" si="8"/>
        <v>232.66145332602741</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168" t="s">
        <v>456</v>
      </c>
      <c r="L26" s="117">
        <v>250000</v>
      </c>
      <c r="M26" s="189" t="s">
        <v>4444</v>
      </c>
      <c r="N26" s="113">
        <v>11296</v>
      </c>
      <c r="O26" s="270"/>
      <c r="P26" s="99" t="s">
        <v>25</v>
      </c>
      <c r="Q26" s="169">
        <v>168846</v>
      </c>
      <c r="R26" s="168" t="s">
        <v>3687</v>
      </c>
      <c r="S26" s="197">
        <f>S25-28</f>
        <v>469</v>
      </c>
      <c r="T26" s="168" t="s">
        <v>4600</v>
      </c>
      <c r="U26" s="168">
        <v>172.2</v>
      </c>
      <c r="V26" s="168">
        <f t="shared" si="6"/>
        <v>236.77169753424658</v>
      </c>
      <c r="W26" s="32">
        <f t="shared" si="7"/>
        <v>241.50713148493153</v>
      </c>
      <c r="X26" s="32">
        <f t="shared" si="8"/>
        <v>246.24256543561646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4383</v>
      </c>
      <c r="N27" s="113">
        <f t="shared" ref="N27:N29" si="13">O27*P27</f>
        <v>20685079.800000001</v>
      </c>
      <c r="O27" s="69">
        <v>1683</v>
      </c>
      <c r="P27" s="99">
        <f>P46</f>
        <v>12290.6</v>
      </c>
      <c r="Q27" s="169">
        <v>1563192</v>
      </c>
      <c r="R27" s="213" t="s">
        <v>4699</v>
      </c>
      <c r="S27" s="197">
        <f>S26-33</f>
        <v>436</v>
      </c>
      <c r="T27" s="213" t="s">
        <v>4700</v>
      </c>
      <c r="U27" s="213">
        <v>168.8</v>
      </c>
      <c r="V27" s="213">
        <f t="shared" si="6"/>
        <v>227.82357917808224</v>
      </c>
      <c r="W27" s="32">
        <f t="shared" ref="W27:W38" si="14">V27*(1+$W$19/100)</f>
        <v>232.3800507616439</v>
      </c>
      <c r="X27" s="32">
        <f t="shared" ref="X27:X38" si="15">V27*(1+$X$19/100)</f>
        <v>236.93652234520553</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5554</v>
      </c>
      <c r="N28" s="113">
        <f t="shared" si="13"/>
        <v>4385955.5999999996</v>
      </c>
      <c r="O28" s="69">
        <v>3471</v>
      </c>
      <c r="P28" s="99">
        <f>P44</f>
        <v>1263.5999999999999</v>
      </c>
      <c r="Q28" s="169">
        <v>1204691</v>
      </c>
      <c r="R28" s="213" t="s">
        <v>4920</v>
      </c>
      <c r="S28" s="197">
        <f>S27-76</f>
        <v>360</v>
      </c>
      <c r="T28" s="213" t="s">
        <v>4921</v>
      </c>
      <c r="U28" s="213">
        <v>218.5</v>
      </c>
      <c r="V28" s="213">
        <f t="shared" si="6"/>
        <v>282.16311780821923</v>
      </c>
      <c r="W28" s="32">
        <f t="shared" si="14"/>
        <v>287.8063801643836</v>
      </c>
      <c r="X28" s="32">
        <f t="shared" si="15"/>
        <v>293.44964252054803</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213"/>
      <c r="L29" s="117"/>
      <c r="M29" s="189" t="s">
        <v>4423</v>
      </c>
      <c r="N29" s="113">
        <f t="shared" si="13"/>
        <v>185001167</v>
      </c>
      <c r="O29" s="69">
        <v>176410</v>
      </c>
      <c r="P29" s="99">
        <f>P48</f>
        <v>1048.7</v>
      </c>
      <c r="Q29" s="169">
        <v>15011877</v>
      </c>
      <c r="R29" s="213" t="s">
        <v>4924</v>
      </c>
      <c r="S29" s="197">
        <f>S28-3</f>
        <v>357</v>
      </c>
      <c r="T29" s="213" t="s">
        <v>4928</v>
      </c>
      <c r="U29" s="213">
        <v>197.1</v>
      </c>
      <c r="V29" s="213">
        <f t="shared" si="6"/>
        <v>254.07432000000003</v>
      </c>
      <c r="W29" s="32">
        <f t="shared" si="14"/>
        <v>259.15580640000002</v>
      </c>
      <c r="X29" s="32">
        <f t="shared" si="15"/>
        <v>264.23729280000003</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12803120</v>
      </c>
      <c r="R30" s="213" t="s">
        <v>4937</v>
      </c>
      <c r="S30" s="197">
        <f>S29-5</f>
        <v>352</v>
      </c>
      <c r="T30" s="213" t="s">
        <v>4939</v>
      </c>
      <c r="U30" s="213">
        <v>194.4</v>
      </c>
      <c r="V30" s="213">
        <f t="shared" si="6"/>
        <v>249.84820602739731</v>
      </c>
      <c r="W30" s="32">
        <f t="shared" si="14"/>
        <v>254.84517014794525</v>
      </c>
      <c r="X30" s="32">
        <f t="shared" si="15"/>
        <v>259.84213426849323</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754</v>
      </c>
      <c r="N31" s="113">
        <v>3000000</v>
      </c>
      <c r="P31" t="s">
        <v>25</v>
      </c>
      <c r="Q31" s="169">
        <v>100562</v>
      </c>
      <c r="R31" s="213" t="s">
        <v>4945</v>
      </c>
      <c r="S31" s="197">
        <f>S30-6</f>
        <v>346</v>
      </c>
      <c r="T31" s="213" t="s">
        <v>4946</v>
      </c>
      <c r="U31" s="213">
        <v>190.3</v>
      </c>
      <c r="V31" s="213">
        <f t="shared" si="6"/>
        <v>243.70287232876714</v>
      </c>
      <c r="W31" s="32">
        <f t="shared" si="14"/>
        <v>248.57692977534248</v>
      </c>
      <c r="X31" s="32">
        <f t="shared" si="15"/>
        <v>253.45098722191784</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916</v>
      </c>
      <c r="L32" s="117">
        <v>4800000</v>
      </c>
      <c r="M32" s="168" t="s">
        <v>4145</v>
      </c>
      <c r="N32" s="113">
        <f>-S165</f>
        <v>-2926705681.0263333</v>
      </c>
      <c r="Q32" s="169">
        <v>198647697</v>
      </c>
      <c r="R32" s="213" t="s">
        <v>4949</v>
      </c>
      <c r="S32" s="197">
        <f>S31-2</f>
        <v>344</v>
      </c>
      <c r="T32" s="213" t="s">
        <v>4993</v>
      </c>
      <c r="U32" s="213">
        <v>195.5</v>
      </c>
      <c r="V32" s="213">
        <f t="shared" si="6"/>
        <v>250.06217534246579</v>
      </c>
      <c r="W32" s="32">
        <f t="shared" si="14"/>
        <v>255.0634188493151</v>
      </c>
      <c r="X32" s="32">
        <f t="shared" si="15"/>
        <v>260.06466235616443</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751</v>
      </c>
      <c r="N33" s="113">
        <v>500000</v>
      </c>
      <c r="Q33" s="169">
        <v>9986627</v>
      </c>
      <c r="R33" s="213" t="s">
        <v>4995</v>
      </c>
      <c r="S33" s="197">
        <f>S32-21</f>
        <v>323</v>
      </c>
      <c r="T33" s="213" t="s">
        <v>4997</v>
      </c>
      <c r="U33" s="213">
        <v>200.2</v>
      </c>
      <c r="V33" s="213">
        <f t="shared" si="6"/>
        <v>252.8487605479452</v>
      </c>
      <c r="W33" s="32">
        <f t="shared" si="14"/>
        <v>257.90573575890409</v>
      </c>
      <c r="X33" s="32">
        <f t="shared" si="15"/>
        <v>262.962710969863</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1082</v>
      </c>
      <c r="L34" s="117">
        <f>'خرید و فروش سکه فیزیکی'!M48*10*P50</f>
        <v>0</v>
      </c>
      <c r="M34" s="168" t="s">
        <v>758</v>
      </c>
      <c r="N34" s="113">
        <v>1200000</v>
      </c>
      <c r="Q34" s="169">
        <v>499908</v>
      </c>
      <c r="R34" s="213" t="s">
        <v>5000</v>
      </c>
      <c r="S34" s="197">
        <f>S33-1</f>
        <v>322</v>
      </c>
      <c r="T34" s="213" t="s">
        <v>5004</v>
      </c>
      <c r="U34" s="213">
        <v>200</v>
      </c>
      <c r="V34" s="213">
        <f t="shared" si="6"/>
        <v>252.44273972602741</v>
      </c>
      <c r="W34" s="32">
        <f t="shared" si="14"/>
        <v>257.49159452054795</v>
      </c>
      <c r="X34" s="32">
        <f t="shared" si="15"/>
        <v>262.54044931506854</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5003</v>
      </c>
      <c r="L35" s="117">
        <v>-47500000</v>
      </c>
      <c r="M35" s="73"/>
      <c r="N35" s="113"/>
      <c r="Q35" s="169">
        <v>850188</v>
      </c>
      <c r="R35" s="213" t="s">
        <v>5007</v>
      </c>
      <c r="S35" s="197">
        <f>S34-1</f>
        <v>321</v>
      </c>
      <c r="T35" s="213" t="s">
        <v>5008</v>
      </c>
      <c r="U35" s="213">
        <v>201.9</v>
      </c>
      <c r="V35" s="213">
        <f t="shared" si="6"/>
        <v>254.68606356164389</v>
      </c>
      <c r="W35" s="32">
        <f t="shared" si="14"/>
        <v>259.77978483287677</v>
      </c>
      <c r="X35" s="32">
        <f t="shared" si="15"/>
        <v>264.87350610410965</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c r="N36" s="113"/>
      <c r="Q36" s="169">
        <v>119890</v>
      </c>
      <c r="R36" s="213" t="s">
        <v>5021</v>
      </c>
      <c r="S36" s="197">
        <f>S35-6</f>
        <v>315</v>
      </c>
      <c r="T36" s="213" t="s">
        <v>5023</v>
      </c>
      <c r="U36" s="213">
        <v>210.1</v>
      </c>
      <c r="V36" s="213">
        <f t="shared" si="6"/>
        <v>264.06288986301371</v>
      </c>
      <c r="W36" s="32">
        <f t="shared" si="14"/>
        <v>269.34414766027396</v>
      </c>
      <c r="X36" s="32">
        <f t="shared" si="15"/>
        <v>274.62540545753427</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5474</v>
      </c>
      <c r="N37" s="113">
        <v>-14000000</v>
      </c>
      <c r="Q37" s="169">
        <v>102858</v>
      </c>
      <c r="R37" s="213" t="s">
        <v>5037</v>
      </c>
      <c r="S37" s="197">
        <f>S36-6</f>
        <v>309</v>
      </c>
      <c r="T37" s="213" t="s">
        <v>5039</v>
      </c>
      <c r="U37" s="213">
        <v>213.3</v>
      </c>
      <c r="V37" s="213">
        <f t="shared" si="6"/>
        <v>267.10302575342473</v>
      </c>
      <c r="W37" s="32">
        <f t="shared" si="14"/>
        <v>272.44508626849324</v>
      </c>
      <c r="X37" s="32">
        <f t="shared" si="15"/>
        <v>277.78714678356175</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5002</v>
      </c>
      <c r="N38" s="113">
        <v>-47000000</v>
      </c>
      <c r="O38" s="302"/>
      <c r="P38" s="96" t="s">
        <v>25</v>
      </c>
      <c r="Q38" s="169">
        <v>8251796.8423111113</v>
      </c>
      <c r="R38" s="213" t="s">
        <v>5042</v>
      </c>
      <c r="S38" s="197">
        <f>S37-2</f>
        <v>307</v>
      </c>
      <c r="T38" s="213" t="s">
        <v>5580</v>
      </c>
      <c r="U38" s="213">
        <v>221</v>
      </c>
      <c r="V38" s="213">
        <f t="shared" si="6"/>
        <v>276.40621369863015</v>
      </c>
      <c r="W38" s="32">
        <f t="shared" si="14"/>
        <v>281.93433797260275</v>
      </c>
      <c r="X38" s="32">
        <f t="shared" si="15"/>
        <v>287.46246224657534</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c r="L39" s="117"/>
      <c r="M39" s="168"/>
      <c r="N39" s="113"/>
      <c r="O39" s="114"/>
      <c r="P39" s="96"/>
      <c r="Q39" s="169">
        <v>1962799</v>
      </c>
      <c r="R39" s="213" t="s">
        <v>5258</v>
      </c>
      <c r="S39" s="197">
        <f>S38-122</f>
        <v>185</v>
      </c>
      <c r="T39" s="213" t="s">
        <v>5283</v>
      </c>
      <c r="U39" s="213">
        <v>6513.1</v>
      </c>
      <c r="V39" s="213">
        <f t="shared" si="6"/>
        <v>7536.4239967123303</v>
      </c>
      <c r="W39" s="32">
        <f t="shared" ref="W39" si="16">V39*(1+$W$19/100)</f>
        <v>7687.1524766465773</v>
      </c>
      <c r="X39" s="32">
        <f t="shared" ref="X39" si="17">V39*(1+$X$19/100)</f>
        <v>7837.8809565808242</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c r="L40" s="117"/>
      <c r="M40" s="168" t="s">
        <v>4443</v>
      </c>
      <c r="N40" s="113">
        <v>4364</v>
      </c>
      <c r="O40" s="114"/>
      <c r="P40" t="s">
        <v>25</v>
      </c>
      <c r="Q40" s="169">
        <v>16396298</v>
      </c>
      <c r="R40" s="213" t="s">
        <v>5530</v>
      </c>
      <c r="S40" s="197">
        <f>S39-156</f>
        <v>29</v>
      </c>
      <c r="T40" s="213" t="s">
        <v>5531</v>
      </c>
      <c r="U40" s="213">
        <v>7121.4</v>
      </c>
      <c r="V40" s="213">
        <f t="shared" si="6"/>
        <v>7388.0720416438353</v>
      </c>
      <c r="W40" s="32">
        <f t="shared" ref="W40" si="18">V40*(1+$W$19/100)</f>
        <v>7535.8334824767126</v>
      </c>
      <c r="X40" s="32">
        <f t="shared" ref="X40" si="19">V40*(1+$X$19/100)</f>
        <v>7683.5949233095889</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258" t="s">
        <v>5094</v>
      </c>
      <c r="L41" s="117">
        <v>-19000000</v>
      </c>
      <c r="M41" s="168"/>
      <c r="N41" s="113"/>
      <c r="O41" s="99"/>
      <c r="P41" s="99"/>
      <c r="Q41" s="169">
        <v>23593427</v>
      </c>
      <c r="R41" s="213" t="s">
        <v>5538</v>
      </c>
      <c r="S41" s="197">
        <f>S40-8</f>
        <v>21</v>
      </c>
      <c r="T41" s="213" t="s">
        <v>5540</v>
      </c>
      <c r="U41" s="213">
        <v>7581.3</v>
      </c>
      <c r="V41" s="213">
        <f t="shared" si="6"/>
        <v>7818.6673873972604</v>
      </c>
      <c r="W41" s="32">
        <f t="shared" ref="W41:W43" si="20">V41*(1+$W$19/100)</f>
        <v>7975.0407351452059</v>
      </c>
      <c r="X41" s="32">
        <f t="shared" ref="X41:X43" si="21">V41*(1+$X$19/100)</f>
        <v>8131.4140828931513</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21" t="s">
        <v>5407</v>
      </c>
      <c r="N42" s="117">
        <f t="shared" ref="N42" si="22">O42*P42</f>
        <v>70262900</v>
      </c>
      <c r="O42" s="69">
        <v>67000</v>
      </c>
      <c r="P42" s="69">
        <f>P48</f>
        <v>1048.7</v>
      </c>
      <c r="Q42" s="169">
        <v>2990679</v>
      </c>
      <c r="R42" s="213" t="s">
        <v>5541</v>
      </c>
      <c r="S42" s="197">
        <f>S41-1</f>
        <v>20</v>
      </c>
      <c r="T42" s="213" t="s">
        <v>5542</v>
      </c>
      <c r="U42" s="213">
        <v>7614.2</v>
      </c>
      <c r="V42" s="213">
        <f t="shared" si="6"/>
        <v>7846.7564427397265</v>
      </c>
      <c r="W42" s="32">
        <f t="shared" si="20"/>
        <v>8003.6915715945215</v>
      </c>
      <c r="X42" s="32">
        <f t="shared" si="21"/>
        <v>8160.6267004493156</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5247</v>
      </c>
      <c r="L43" s="117">
        <f>-1200*P51</f>
        <v>-19200000</v>
      </c>
      <c r="M43" s="21" t="s">
        <v>5352</v>
      </c>
      <c r="N43" s="117">
        <f t="shared" ref="N43:N51" si="23">O43*P43</f>
        <v>0</v>
      </c>
      <c r="O43" s="69">
        <v>0</v>
      </c>
      <c r="P43" s="69">
        <v>84500</v>
      </c>
      <c r="Q43" s="169">
        <v>554224</v>
      </c>
      <c r="R43" s="213" t="s">
        <v>5545</v>
      </c>
      <c r="S43" s="197">
        <f>S42-4</f>
        <v>16</v>
      </c>
      <c r="T43" s="213" t="s">
        <v>5546</v>
      </c>
      <c r="U43" s="213">
        <v>8488</v>
      </c>
      <c r="V43" s="213">
        <f t="shared" si="6"/>
        <v>8721.1990794520552</v>
      </c>
      <c r="W43" s="32">
        <f t="shared" si="20"/>
        <v>8895.6230610410967</v>
      </c>
      <c r="X43" s="32">
        <f t="shared" si="21"/>
        <v>9070.0470426301381</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c r="L44" s="117"/>
      <c r="M44" s="19" t="s">
        <v>5554</v>
      </c>
      <c r="N44" s="117">
        <f t="shared" si="23"/>
        <v>4389746.3999999994</v>
      </c>
      <c r="O44" s="69">
        <v>3474</v>
      </c>
      <c r="P44" s="69">
        <v>1263.5999999999999</v>
      </c>
      <c r="Q44" s="169">
        <v>1687767</v>
      </c>
      <c r="R44" s="213" t="s">
        <v>5548</v>
      </c>
      <c r="S44" s="197">
        <f>S43-2</f>
        <v>14</v>
      </c>
      <c r="T44" s="213" t="s">
        <v>5551</v>
      </c>
      <c r="U44" s="213">
        <v>8317.5</v>
      </c>
      <c r="V44" s="213">
        <f t="shared" si="6"/>
        <v>8533.2536712328783</v>
      </c>
      <c r="W44" s="32">
        <f t="shared" ref="W44:W54" si="24">V44*(1+$W$19/100)</f>
        <v>8703.9187446575361</v>
      </c>
      <c r="X44" s="32">
        <f t="shared" ref="X44:X54" si="25">V44*(1+$X$19/100)</f>
        <v>8874.5838180821938</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c r="L45" s="117"/>
      <c r="M45" s="19" t="s">
        <v>4379</v>
      </c>
      <c r="N45" s="117">
        <f t="shared" si="23"/>
        <v>191553491.70000002</v>
      </c>
      <c r="O45" s="69">
        <v>15567</v>
      </c>
      <c r="P45" s="69">
        <v>12305.1</v>
      </c>
      <c r="Q45" s="169">
        <v>29256748</v>
      </c>
      <c r="R45" s="213" t="s">
        <v>5552</v>
      </c>
      <c r="S45" s="197">
        <f>S44-1</f>
        <v>13</v>
      </c>
      <c r="T45" s="213" t="s">
        <v>5561</v>
      </c>
      <c r="U45" s="213">
        <v>8338</v>
      </c>
      <c r="V45" s="213">
        <f t="shared" si="6"/>
        <v>8547.8891616438359</v>
      </c>
      <c r="W45" s="32">
        <f t="shared" si="24"/>
        <v>8718.8469448767137</v>
      </c>
      <c r="X45" s="32">
        <f t="shared" si="25"/>
        <v>8889.8047281095896</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4383</v>
      </c>
      <c r="N46" s="117">
        <f t="shared" si="23"/>
        <v>752356788.39999998</v>
      </c>
      <c r="O46" s="69">
        <v>61214</v>
      </c>
      <c r="P46" s="69">
        <v>12290.6</v>
      </c>
      <c r="Q46" s="169">
        <v>3001502</v>
      </c>
      <c r="R46" s="213" t="s">
        <v>5552</v>
      </c>
      <c r="S46" s="197">
        <f>S45</f>
        <v>13</v>
      </c>
      <c r="T46" s="213" t="s">
        <v>5557</v>
      </c>
      <c r="U46" s="213">
        <v>860</v>
      </c>
      <c r="V46" s="213">
        <f t="shared" si="6"/>
        <v>881.64843835616443</v>
      </c>
      <c r="W46" s="32">
        <f t="shared" si="24"/>
        <v>899.28140712328775</v>
      </c>
      <c r="X46" s="32">
        <f t="shared" si="25"/>
        <v>916.91437589041107</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9" t="s">
        <v>5419</v>
      </c>
      <c r="N47" s="117">
        <f t="shared" si="23"/>
        <v>0</v>
      </c>
      <c r="O47" s="69">
        <v>0</v>
      </c>
      <c r="P47" s="69">
        <v>840</v>
      </c>
      <c r="Q47" s="169">
        <v>49280339</v>
      </c>
      <c r="R47" s="213" t="s">
        <v>5566</v>
      </c>
      <c r="S47" s="197">
        <f>S46-3</f>
        <v>10</v>
      </c>
      <c r="T47" s="213" t="s">
        <v>5569</v>
      </c>
      <c r="U47" s="213">
        <v>8740</v>
      </c>
      <c r="V47" s="213">
        <f t="shared" si="6"/>
        <v>8939.8945753424669</v>
      </c>
      <c r="W47" s="32">
        <f t="shared" si="24"/>
        <v>9118.6924668493157</v>
      </c>
      <c r="X47" s="32">
        <f t="shared" si="25"/>
        <v>9297.4903583561663</v>
      </c>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5553</v>
      </c>
      <c r="L48" s="117">
        <f>-6944*P44</f>
        <v>-8774438.3999999985</v>
      </c>
      <c r="M48" s="19" t="s">
        <v>4173</v>
      </c>
      <c r="N48" s="113">
        <f>O48*P48</f>
        <v>2685590661.2000003</v>
      </c>
      <c r="O48" s="99">
        <v>2560876</v>
      </c>
      <c r="P48" s="99">
        <v>1048.7</v>
      </c>
      <c r="Q48" s="169">
        <v>3602822</v>
      </c>
      <c r="R48" s="213" t="s">
        <v>5571</v>
      </c>
      <c r="S48" s="197">
        <f>S47-1</f>
        <v>9</v>
      </c>
      <c r="T48" s="213" t="s">
        <v>5574</v>
      </c>
      <c r="U48" s="213">
        <v>8966.4</v>
      </c>
      <c r="V48" s="213">
        <f t="shared" si="6"/>
        <v>9164.5942882191794</v>
      </c>
      <c r="W48" s="32">
        <f t="shared" si="24"/>
        <v>9347.8861739835629</v>
      </c>
      <c r="X48" s="32">
        <f t="shared" si="25"/>
        <v>9531.1780597479465</v>
      </c>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58"/>
      <c r="L49" s="117"/>
      <c r="M49" s="19" t="s">
        <v>5161</v>
      </c>
      <c r="N49" s="113">
        <f t="shared" si="23"/>
        <v>0</v>
      </c>
      <c r="O49" s="99">
        <v>0</v>
      </c>
      <c r="P49" s="99">
        <v>5720</v>
      </c>
      <c r="Q49" s="169">
        <v>41520740</v>
      </c>
      <c r="R49" s="213" t="s">
        <v>5571</v>
      </c>
      <c r="S49" s="197">
        <f>S48</f>
        <v>9</v>
      </c>
      <c r="T49" s="213" t="s">
        <v>5575</v>
      </c>
      <c r="U49" s="213">
        <v>8537.2999999999993</v>
      </c>
      <c r="V49" s="213">
        <f t="shared" si="6"/>
        <v>8726.0094147945219</v>
      </c>
      <c r="W49" s="32">
        <f t="shared" si="24"/>
        <v>8900.5296030904119</v>
      </c>
      <c r="X49" s="32">
        <f t="shared" si="25"/>
        <v>9075.0497913863037</v>
      </c>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58"/>
      <c r="L50" s="117"/>
      <c r="M50" s="21" t="s">
        <v>1082</v>
      </c>
      <c r="N50" s="117">
        <f t="shared" si="23"/>
        <v>0</v>
      </c>
      <c r="O50" s="69">
        <v>0</v>
      </c>
      <c r="P50" s="69">
        <v>710000</v>
      </c>
      <c r="Q50" s="169">
        <v>45615767</v>
      </c>
      <c r="R50" s="213" t="s">
        <v>5576</v>
      </c>
      <c r="S50" s="197">
        <f>S49-1</f>
        <v>8</v>
      </c>
      <c r="T50" s="213" t="s">
        <v>5579</v>
      </c>
      <c r="U50" s="213">
        <v>8558.9</v>
      </c>
      <c r="V50" s="213">
        <f t="shared" si="6"/>
        <v>8741.5211320547951</v>
      </c>
      <c r="W50" s="32">
        <f t="shared" si="24"/>
        <v>8916.3515546958915</v>
      </c>
      <c r="X50" s="32">
        <f t="shared" si="25"/>
        <v>9091.181977336988</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99" t="s">
        <v>5402</v>
      </c>
      <c r="L51" s="117">
        <f>67000*P48</f>
        <v>70262900</v>
      </c>
      <c r="M51" s="73" t="s">
        <v>5160</v>
      </c>
      <c r="N51" s="117">
        <f t="shared" si="23"/>
        <v>0</v>
      </c>
      <c r="O51" s="69">
        <v>0</v>
      </c>
      <c r="P51" s="69">
        <v>16000</v>
      </c>
      <c r="Q51" s="169">
        <v>7413007</v>
      </c>
      <c r="R51" s="213" t="s">
        <v>5591</v>
      </c>
      <c r="S51" s="197">
        <f>S50-5</f>
        <v>3</v>
      </c>
      <c r="T51" s="213" t="s">
        <v>5592</v>
      </c>
      <c r="U51" s="213">
        <v>9110.5</v>
      </c>
      <c r="V51" s="213">
        <f t="shared" si="6"/>
        <v>9269.9462301369877</v>
      </c>
      <c r="W51" s="32">
        <f t="shared" si="24"/>
        <v>9455.3451547397271</v>
      </c>
      <c r="X51" s="32">
        <f t="shared" si="25"/>
        <v>9640.7440793424666</v>
      </c>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t="s">
        <v>1148</v>
      </c>
      <c r="N52" s="117">
        <v>14908</v>
      </c>
      <c r="O52" s="96"/>
      <c r="P52" t="s">
        <v>25</v>
      </c>
      <c r="Q52" s="169">
        <v>64446280</v>
      </c>
      <c r="R52" s="213" t="s">
        <v>5596</v>
      </c>
      <c r="S52" s="197">
        <f>S51-3</f>
        <v>0</v>
      </c>
      <c r="T52" s="213" t="s">
        <v>5603</v>
      </c>
      <c r="U52" s="213">
        <v>10302</v>
      </c>
      <c r="V52" s="213">
        <f t="shared" si="6"/>
        <v>10458.590400000001</v>
      </c>
      <c r="W52" s="32">
        <f t="shared" si="24"/>
        <v>10667.762208000002</v>
      </c>
      <c r="X52" s="32">
        <f t="shared" si="25"/>
        <v>10876.934016000001</v>
      </c>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68" t="s">
        <v>1149</v>
      </c>
      <c r="N53" s="117">
        <v>5282</v>
      </c>
      <c r="O53" s="96"/>
      <c r="P53" t="s">
        <v>25</v>
      </c>
      <c r="Q53" s="169"/>
      <c r="R53" s="213"/>
      <c r="S53" s="197"/>
      <c r="T53" s="213"/>
      <c r="U53" s="213"/>
      <c r="V53" s="213"/>
      <c r="W53" s="32"/>
      <c r="X53" s="32"/>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59"/>
      <c r="L54" s="117"/>
      <c r="M54" s="168"/>
      <c r="N54" s="113"/>
      <c r="O54" s="115"/>
      <c r="P54" s="115"/>
      <c r="Q54" s="169" t="s">
        <v>25</v>
      </c>
      <c r="R54" s="168" t="s">
        <v>25</v>
      </c>
      <c r="S54" s="168"/>
      <c r="T54" s="168"/>
      <c r="U54" s="168"/>
      <c r="V54" s="213">
        <f>U54*(1+$R$86+$Q$15*S54/36500)</f>
        <v>0</v>
      </c>
      <c r="W54" s="32">
        <f t="shared" si="24"/>
        <v>0</v>
      </c>
      <c r="X54" s="32">
        <f t="shared" si="25"/>
        <v>0</v>
      </c>
      <c r="Y54" t="s">
        <v>25</v>
      </c>
      <c r="AH54" s="99">
        <v>35</v>
      </c>
      <c r="AI54" s="113" t="s">
        <v>3977</v>
      </c>
      <c r="AJ54" s="113">
        <v>750000</v>
      </c>
      <c r="AK54" s="99">
        <v>2</v>
      </c>
      <c r="AL54" s="99">
        <f t="shared" si="10"/>
        <v>562</v>
      </c>
      <c r="AM54" s="113">
        <f t="shared" si="11"/>
        <v>421500000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c r="N55" s="113"/>
      <c r="O55" s="99"/>
      <c r="P55" s="99"/>
      <c r="Q55" s="169">
        <f>SUM(N21:N24)-SUM(Q20:Q54)</f>
        <v>1253664075.3576891</v>
      </c>
      <c r="R55" s="168" t="s">
        <v>25</v>
      </c>
      <c r="S55" s="168" t="s">
        <v>25</v>
      </c>
      <c r="T55" s="168"/>
      <c r="U55" s="168"/>
      <c r="V55" s="168"/>
      <c r="W55" s="32"/>
      <c r="X55" s="32"/>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R56" s="115" t="s">
        <v>25</v>
      </c>
      <c r="S56" s="115" t="s">
        <v>25</v>
      </c>
      <c r="T56" s="122" t="s">
        <v>25</v>
      </c>
      <c r="U56" s="115" t="s">
        <v>25</v>
      </c>
      <c r="V56" s="115" t="s">
        <v>25</v>
      </c>
      <c r="W56" s="194" t="s">
        <v>25</v>
      </c>
      <c r="X56" s="194"/>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t="s">
        <v>4430</v>
      </c>
      <c r="N58" s="113">
        <f>-S166</f>
        <v>-82821253.867592365</v>
      </c>
      <c r="Q58" s="168" t="s">
        <v>655</v>
      </c>
      <c r="R58" s="168"/>
      <c r="S58" s="168"/>
      <c r="T58" s="168"/>
      <c r="U58" s="168"/>
      <c r="V58" s="168"/>
      <c r="W58" s="32"/>
      <c r="X58" s="32"/>
      <c r="Y58" t="s">
        <v>25</v>
      </c>
      <c r="AA58" t="s">
        <v>25</v>
      </c>
      <c r="AH58" s="99">
        <v>39</v>
      </c>
      <c r="AI58" s="113" t="s">
        <v>4002</v>
      </c>
      <c r="AJ58" s="113">
        <v>790000</v>
      </c>
      <c r="AK58" s="99">
        <v>15</v>
      </c>
      <c r="AL58" s="99">
        <f t="shared" si="10"/>
        <v>557</v>
      </c>
      <c r="AM58" s="113">
        <f t="shared" si="11"/>
        <v>440030000</v>
      </c>
      <c r="AN58" s="99"/>
    </row>
    <row r="59" spans="1:45" ht="30">
      <c r="A59" s="63">
        <v>1400</v>
      </c>
      <c r="B59" s="11">
        <v>57</v>
      </c>
      <c r="C59" s="50">
        <f t="shared" si="4"/>
        <v>5655009.1360314842</v>
      </c>
      <c r="D59" s="3">
        <f t="shared" si="5"/>
        <v>4593726.5995433833</v>
      </c>
      <c r="E59" s="3">
        <f t="shared" si="12"/>
        <v>604717069.49413705</v>
      </c>
      <c r="F59" s="3"/>
      <c r="G59" s="11"/>
      <c r="H59" s="11"/>
      <c r="K59" s="168"/>
      <c r="L59" s="117"/>
      <c r="M59" s="168"/>
      <c r="N59" s="113"/>
      <c r="Q59" s="168" t="s">
        <v>267</v>
      </c>
      <c r="R59" s="168" t="s">
        <v>180</v>
      </c>
      <c r="S59" s="168" t="s">
        <v>183</v>
      </c>
      <c r="T59" s="168" t="s">
        <v>8</v>
      </c>
      <c r="U59" s="168" t="s">
        <v>4352</v>
      </c>
      <c r="V59" s="73" t="s">
        <v>4354</v>
      </c>
      <c r="W59" s="32">
        <v>2</v>
      </c>
      <c r="X59" s="32">
        <v>4</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8">
        <v>0</v>
      </c>
      <c r="R60" s="168" t="s">
        <v>4166</v>
      </c>
      <c r="S60" s="168">
        <f>S90</f>
        <v>584</v>
      </c>
      <c r="T60" s="168"/>
      <c r="U60" s="168"/>
      <c r="V60" s="73"/>
      <c r="W60" s="32"/>
      <c r="X60" s="32"/>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f>SUM(N16:N60)</f>
        <v>2656532357.406075</v>
      </c>
      <c r="Q61" s="169">
        <v>863944</v>
      </c>
      <c r="R61" s="168" t="s">
        <v>4422</v>
      </c>
      <c r="S61" s="168">
        <f>S60-62</f>
        <v>522</v>
      </c>
      <c r="T61" s="190" t="s">
        <v>4493</v>
      </c>
      <c r="U61" s="168">
        <v>184.6</v>
      </c>
      <c r="V61" s="168">
        <f t="shared" ref="V61:V79" si="26">U61*(1+$R$86+$Q$15*S61/36500)</f>
        <v>261.32684054794521</v>
      </c>
      <c r="W61" s="32">
        <f t="shared" ref="W61:W71" si="27">V61*(1+$W$19/100)</f>
        <v>266.55337735890413</v>
      </c>
      <c r="X61" s="32">
        <f t="shared" ref="X61:X71" si="28">V61*(1+$X$19/100)</f>
        <v>271.77991416986305</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K62" s="168" t="s">
        <v>598</v>
      </c>
      <c r="L62" s="113">
        <f>SUM(L16:L43)</f>
        <v>2817501357.0263333</v>
      </c>
      <c r="M62" s="168"/>
      <c r="N62" s="113">
        <f>N16+N17+N33</f>
        <v>641053</v>
      </c>
      <c r="Q62" s="169">
        <v>1692313</v>
      </c>
      <c r="R62" s="168" t="s">
        <v>4496</v>
      </c>
      <c r="S62" s="197">
        <f>S61-21</f>
        <v>501</v>
      </c>
      <c r="T62" s="189" t="s">
        <v>4497</v>
      </c>
      <c r="U62" s="168">
        <v>168.5</v>
      </c>
      <c r="V62" s="168">
        <f t="shared" si="26"/>
        <v>235.82059726027398</v>
      </c>
      <c r="W62" s="32">
        <f t="shared" si="27"/>
        <v>240.53700920547948</v>
      </c>
      <c r="X62" s="32">
        <f t="shared" si="28"/>
        <v>245.25342115068494</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K63" s="168" t="s">
        <v>599</v>
      </c>
      <c r="L63" s="113">
        <f>L16+L17+L26</f>
        <v>582392</v>
      </c>
      <c r="M63" s="113"/>
      <c r="N63" s="168"/>
      <c r="O63" s="115"/>
      <c r="P63" s="115" t="s">
        <v>25</v>
      </c>
      <c r="Q63" s="169">
        <v>101153</v>
      </c>
      <c r="R63" s="168" t="s">
        <v>4499</v>
      </c>
      <c r="S63" s="197">
        <f>S62-1</f>
        <v>500</v>
      </c>
      <c r="T63" s="189" t="s">
        <v>4501</v>
      </c>
      <c r="U63" s="168">
        <v>166.7</v>
      </c>
      <c r="V63" s="168">
        <f t="shared" si="26"/>
        <v>233.17356602739727</v>
      </c>
      <c r="W63" s="32">
        <f t="shared" si="27"/>
        <v>237.83703734794523</v>
      </c>
      <c r="X63" s="32">
        <f t="shared" si="28"/>
        <v>242.50050866849318</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K64" s="56" t="s">
        <v>714</v>
      </c>
      <c r="L64" s="1">
        <f>L62+N7</f>
        <v>2917501357.0263333</v>
      </c>
      <c r="O64" s="96"/>
      <c r="P64" s="96"/>
      <c r="Q64" s="169">
        <v>183105</v>
      </c>
      <c r="R64" s="168" t="s">
        <v>4221</v>
      </c>
      <c r="S64" s="197">
        <f>S63-1</f>
        <v>499</v>
      </c>
      <c r="T64" s="189" t="s">
        <v>4505</v>
      </c>
      <c r="U64" s="168">
        <v>166.6</v>
      </c>
      <c r="V64" s="168">
        <f t="shared" si="26"/>
        <v>232.9058871232877</v>
      </c>
      <c r="W64" s="32">
        <f t="shared" si="27"/>
        <v>237.56400486575345</v>
      </c>
      <c r="X64" s="32">
        <f t="shared" si="28"/>
        <v>242.22212260821922</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25"/>
      <c r="O65" t="s">
        <v>25</v>
      </c>
      <c r="Q65" s="169">
        <v>168846</v>
      </c>
      <c r="R65" s="168" t="s">
        <v>3687</v>
      </c>
      <c r="S65" s="197">
        <f>S64-30</f>
        <v>469</v>
      </c>
      <c r="T65" s="189" t="s">
        <v>4600</v>
      </c>
      <c r="U65" s="168">
        <v>172.2</v>
      </c>
      <c r="V65" s="168">
        <f t="shared" si="26"/>
        <v>236.77169753424658</v>
      </c>
      <c r="W65" s="32">
        <f t="shared" si="27"/>
        <v>241.50713148493153</v>
      </c>
      <c r="X65" s="32">
        <f t="shared" si="28"/>
        <v>246.24256543561646</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M66" s="25" t="s">
        <v>4076</v>
      </c>
      <c r="N66" s="277" t="s">
        <v>5315</v>
      </c>
      <c r="O66" s="96" t="s">
        <v>25</v>
      </c>
      <c r="P66" s="115"/>
      <c r="Q66" s="169">
        <v>19918023</v>
      </c>
      <c r="R66" s="5" t="s">
        <v>4834</v>
      </c>
      <c r="S66" s="197">
        <f>S65-75</f>
        <v>394</v>
      </c>
      <c r="T66" s="189" t="s">
        <v>4836</v>
      </c>
      <c r="U66" s="213">
        <v>183</v>
      </c>
      <c r="V66" s="213">
        <f t="shared" si="26"/>
        <v>241.09272328767125</v>
      </c>
      <c r="W66" s="32">
        <f t="shared" si="27"/>
        <v>245.91457775342468</v>
      </c>
      <c r="X66" s="32">
        <f t="shared" si="28"/>
        <v>250.73643221917811</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M67" s="177"/>
      <c r="N67" s="96"/>
      <c r="O67" s="96"/>
      <c r="P67" s="115"/>
      <c r="Q67" s="169">
        <v>1200301</v>
      </c>
      <c r="R67" s="19" t="s">
        <v>4920</v>
      </c>
      <c r="S67" s="197">
        <f>S66-34</f>
        <v>360</v>
      </c>
      <c r="T67" s="189" t="s">
        <v>4922</v>
      </c>
      <c r="U67" s="213">
        <v>218.5</v>
      </c>
      <c r="V67" s="213">
        <f t="shared" si="26"/>
        <v>282.16311780821923</v>
      </c>
      <c r="W67" s="32">
        <f t="shared" si="27"/>
        <v>287.8063801643836</v>
      </c>
      <c r="X67" s="32">
        <f t="shared" si="28"/>
        <v>293.44964252054803</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M68" s="96" t="s">
        <v>4773</v>
      </c>
      <c r="N68" s="96"/>
      <c r="O68" s="96"/>
      <c r="Q68" s="169">
        <v>6135206</v>
      </c>
      <c r="R68" s="19" t="s">
        <v>4949</v>
      </c>
      <c r="S68" s="197">
        <f>S67-16</f>
        <v>344</v>
      </c>
      <c r="T68" s="189" t="s">
        <v>4950</v>
      </c>
      <c r="U68" s="213">
        <v>196.2</v>
      </c>
      <c r="V68" s="213">
        <f t="shared" si="26"/>
        <v>250.95753863013701</v>
      </c>
      <c r="W68" s="32">
        <f t="shared" si="27"/>
        <v>255.97668940273977</v>
      </c>
      <c r="X68" s="32">
        <f t="shared" si="28"/>
        <v>260.99584017534249</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c r="F69" t="s">
        <v>4100</v>
      </c>
      <c r="G69" t="s">
        <v>4096</v>
      </c>
      <c r="M69" s="122" t="s">
        <v>4398</v>
      </c>
      <c r="O69" s="114"/>
      <c r="Q69" s="169">
        <v>104578</v>
      </c>
      <c r="R69" s="19" t="s">
        <v>4971</v>
      </c>
      <c r="S69" s="197">
        <f>S68-9</f>
        <v>335</v>
      </c>
      <c r="T69" s="189" t="s">
        <v>4972</v>
      </c>
      <c r="U69" s="213">
        <v>199.8</v>
      </c>
      <c r="V69" s="213">
        <f t="shared" si="26"/>
        <v>254.18282301369865</v>
      </c>
      <c r="W69" s="32">
        <f t="shared" si="27"/>
        <v>259.26647947397265</v>
      </c>
      <c r="X69" s="32">
        <f t="shared" si="28"/>
        <v>264.35013593424662</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c r="G70" t="s">
        <v>4097</v>
      </c>
      <c r="M70" s="122" t="s">
        <v>4490</v>
      </c>
      <c r="N70" s="96"/>
      <c r="Q70" s="169">
        <v>119253</v>
      </c>
      <c r="R70" s="19" t="s">
        <v>4976</v>
      </c>
      <c r="S70" s="197">
        <f>S69-3</f>
        <v>332</v>
      </c>
      <c r="T70" s="189" t="s">
        <v>4977</v>
      </c>
      <c r="U70" s="213">
        <v>199.5</v>
      </c>
      <c r="V70" s="213">
        <f t="shared" si="26"/>
        <v>253.34204383561647</v>
      </c>
      <c r="W70" s="32">
        <f t="shared" si="27"/>
        <v>258.40888471232881</v>
      </c>
      <c r="X70" s="32">
        <f t="shared" si="28"/>
        <v>263.47572558904113</v>
      </c>
      <c r="Y70" s="122" t="s">
        <v>25</v>
      </c>
      <c r="Z70" t="s">
        <v>25</v>
      </c>
      <c r="AH70" s="20">
        <v>50</v>
      </c>
      <c r="AI70" s="117" t="s">
        <v>4151</v>
      </c>
      <c r="AJ70" s="117">
        <v>12000000</v>
      </c>
      <c r="AK70" s="20">
        <v>1</v>
      </c>
      <c r="AL70" s="99">
        <f t="shared" si="29"/>
        <v>517</v>
      </c>
      <c r="AM70" s="117">
        <f t="shared" si="11"/>
        <v>6204000000</v>
      </c>
      <c r="AN70" s="20"/>
    </row>
    <row r="71" spans="1:40">
      <c r="G71" t="s">
        <v>4098</v>
      </c>
      <c r="M71" s="122" t="s">
        <v>4559</v>
      </c>
      <c r="N71" s="96"/>
      <c r="O71" s="278"/>
      <c r="P71" t="s">
        <v>25</v>
      </c>
      <c r="Q71" s="169">
        <v>2227488</v>
      </c>
      <c r="R71" s="19" t="s">
        <v>4995</v>
      </c>
      <c r="S71" s="197">
        <f>S70-9</f>
        <v>323</v>
      </c>
      <c r="T71" s="189" t="s">
        <v>5484</v>
      </c>
      <c r="U71" s="213">
        <v>200</v>
      </c>
      <c r="V71" s="213">
        <f t="shared" si="26"/>
        <v>252.59616438356164</v>
      </c>
      <c r="W71" s="32">
        <f t="shared" si="27"/>
        <v>257.64808767123287</v>
      </c>
      <c r="X71" s="32">
        <f t="shared" si="28"/>
        <v>262.7000109589041</v>
      </c>
      <c r="Y71" s="122" t="s">
        <v>25</v>
      </c>
      <c r="AH71" s="20">
        <v>51</v>
      </c>
      <c r="AI71" s="117" t="s">
        <v>4156</v>
      </c>
      <c r="AJ71" s="117">
        <v>15500000</v>
      </c>
      <c r="AK71" s="20">
        <v>4</v>
      </c>
      <c r="AL71" s="99">
        <f t="shared" si="29"/>
        <v>516</v>
      </c>
      <c r="AM71" s="117">
        <f t="shared" si="11"/>
        <v>7998000000</v>
      </c>
      <c r="AN71" s="20"/>
    </row>
    <row r="72" spans="1:40" ht="30">
      <c r="G72" t="s">
        <v>4102</v>
      </c>
      <c r="M72" s="206" t="s">
        <v>4669</v>
      </c>
      <c r="N72" s="96"/>
      <c r="P72" s="115"/>
      <c r="Q72" s="169">
        <v>6990657</v>
      </c>
      <c r="R72" s="19" t="s">
        <v>5478</v>
      </c>
      <c r="S72" s="197">
        <f>S71-265</f>
        <v>58</v>
      </c>
      <c r="T72" s="189" t="s">
        <v>5483</v>
      </c>
      <c r="U72" s="213">
        <v>7792.9</v>
      </c>
      <c r="V72" s="213">
        <f t="shared" si="26"/>
        <v>8258.0827539726033</v>
      </c>
      <c r="W72" s="32">
        <f t="shared" ref="W72:W81" si="30">V72*(1+$W$19/100)</f>
        <v>8423.2444090520548</v>
      </c>
      <c r="X72" s="32">
        <f t="shared" ref="X72:X81" si="31">V72*(1+$X$19/100)</f>
        <v>8588.4060641315082</v>
      </c>
      <c r="Y72" s="122" t="s">
        <v>25</v>
      </c>
      <c r="AH72" s="20">
        <v>52</v>
      </c>
      <c r="AI72" s="117" t="s">
        <v>4160</v>
      </c>
      <c r="AJ72" s="117">
        <v>150000</v>
      </c>
      <c r="AK72" s="20">
        <v>1</v>
      </c>
      <c r="AL72" s="99">
        <f t="shared" si="29"/>
        <v>512</v>
      </c>
      <c r="AM72" s="117">
        <f t="shared" si="11"/>
        <v>76800000</v>
      </c>
      <c r="AN72" s="20"/>
    </row>
    <row r="73" spans="1:40" ht="31.5">
      <c r="G73" t="s">
        <v>4101</v>
      </c>
      <c r="K73" s="212" t="s">
        <v>4712</v>
      </c>
      <c r="L73" s="22" t="s">
        <v>4690</v>
      </c>
      <c r="M73" s="255" t="s">
        <v>5016</v>
      </c>
      <c r="N73" s="96"/>
      <c r="P73" s="115" t="s">
        <v>25</v>
      </c>
      <c r="Q73" s="169">
        <v>4411104</v>
      </c>
      <c r="R73" s="19" t="s">
        <v>5485</v>
      </c>
      <c r="S73" s="197">
        <f>S72-2</f>
        <v>56</v>
      </c>
      <c r="T73" s="189" t="s">
        <v>5488</v>
      </c>
      <c r="U73" s="213">
        <v>8086.9</v>
      </c>
      <c r="V73" s="213">
        <f t="shared" si="26"/>
        <v>8557.225241643835</v>
      </c>
      <c r="W73" s="32">
        <f t="shared" si="30"/>
        <v>8728.369746476712</v>
      </c>
      <c r="X73" s="32">
        <f t="shared" si="31"/>
        <v>8899.5142513095889</v>
      </c>
      <c r="Y73" t="s">
        <v>25</v>
      </c>
      <c r="Z73" s="115"/>
      <c r="AH73" s="179">
        <v>53</v>
      </c>
      <c r="AI73" s="180" t="s">
        <v>4166</v>
      </c>
      <c r="AJ73" s="180">
        <v>29000000</v>
      </c>
      <c r="AK73" s="179">
        <v>15</v>
      </c>
      <c r="AL73" s="179">
        <f t="shared" si="29"/>
        <v>511</v>
      </c>
      <c r="AM73" s="180">
        <f t="shared" si="11"/>
        <v>14819000000</v>
      </c>
      <c r="AN73" s="179" t="s">
        <v>4176</v>
      </c>
    </row>
    <row r="74" spans="1:40">
      <c r="K74" t="s">
        <v>4713</v>
      </c>
      <c r="M74" s="122" t="s">
        <v>5265</v>
      </c>
      <c r="O74" t="s">
        <v>25</v>
      </c>
      <c r="P74" s="115"/>
      <c r="Q74" s="169">
        <v>451533</v>
      </c>
      <c r="R74" s="19" t="s">
        <v>5499</v>
      </c>
      <c r="S74" s="197">
        <f>S73-6</f>
        <v>50</v>
      </c>
      <c r="T74" s="189" t="s">
        <v>5506</v>
      </c>
      <c r="U74" s="213">
        <v>500.5</v>
      </c>
      <c r="V74" s="213">
        <f t="shared" si="26"/>
        <v>527.30486027397274</v>
      </c>
      <c r="W74" s="32">
        <f t="shared" si="30"/>
        <v>537.85095747945218</v>
      </c>
      <c r="X74" s="32">
        <f t="shared" si="31"/>
        <v>548.39705468493162</v>
      </c>
      <c r="Z74" s="122"/>
      <c r="AH74" s="20">
        <v>54</v>
      </c>
      <c r="AI74" s="117" t="s">
        <v>4200</v>
      </c>
      <c r="AJ74" s="117">
        <v>-130000</v>
      </c>
      <c r="AK74" s="20">
        <v>7</v>
      </c>
      <c r="AL74" s="99">
        <f t="shared" si="29"/>
        <v>496</v>
      </c>
      <c r="AM74" s="117">
        <f t="shared" si="11"/>
        <v>-64480000</v>
      </c>
      <c r="AN74" s="20" t="s">
        <v>4202</v>
      </c>
    </row>
    <row r="75" spans="1:40">
      <c r="G75" s="48" t="s">
        <v>786</v>
      </c>
      <c r="H75" s="201" t="s">
        <v>476</v>
      </c>
      <c r="K75" t="s">
        <v>4562</v>
      </c>
      <c r="L75" s="96"/>
      <c r="M75" s="96">
        <f>O48+O21+O29-O55</f>
        <v>4073244</v>
      </c>
      <c r="N75" s="113">
        <f>M75*P48</f>
        <v>4271610982.8000002</v>
      </c>
      <c r="P75" s="116"/>
      <c r="Q75" s="169">
        <v>124313</v>
      </c>
      <c r="R75" s="19" t="s">
        <v>5508</v>
      </c>
      <c r="S75" s="197">
        <f>S74-5</f>
        <v>45</v>
      </c>
      <c r="T75" s="189" t="s">
        <v>5509</v>
      </c>
      <c r="U75" s="213">
        <v>460</v>
      </c>
      <c r="V75" s="213">
        <f t="shared" si="26"/>
        <v>482.87145205479459</v>
      </c>
      <c r="W75" s="32">
        <f t="shared" si="30"/>
        <v>492.52888109589048</v>
      </c>
      <c r="X75" s="32">
        <f t="shared" si="31"/>
        <v>502.18631013698638</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4774</v>
      </c>
      <c r="M76" t="s">
        <v>4257</v>
      </c>
      <c r="P76" s="115"/>
      <c r="Q76" s="169">
        <v>371541</v>
      </c>
      <c r="R76" s="19" t="s">
        <v>5536</v>
      </c>
      <c r="S76" s="197">
        <f>S75-23</f>
        <v>22</v>
      </c>
      <c r="T76" s="189" t="s">
        <v>5537</v>
      </c>
      <c r="U76" s="213">
        <v>484.7</v>
      </c>
      <c r="V76" s="213">
        <f t="shared" si="26"/>
        <v>500.24758246575351</v>
      </c>
      <c r="W76" s="32">
        <f t="shared" si="30"/>
        <v>510.25253411506861</v>
      </c>
      <c r="X76" s="32">
        <f t="shared" si="31"/>
        <v>520.25748576438366</v>
      </c>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t="s">
        <v>4775</v>
      </c>
      <c r="M77" t="s">
        <v>4564</v>
      </c>
      <c r="N77" t="s">
        <v>25</v>
      </c>
      <c r="P77" s="115"/>
      <c r="Q77" s="169">
        <v>2998910</v>
      </c>
      <c r="R77" s="19" t="s">
        <v>5552</v>
      </c>
      <c r="S77" s="197">
        <f>S76-9</f>
        <v>13</v>
      </c>
      <c r="T77" s="189" t="s">
        <v>5556</v>
      </c>
      <c r="U77" s="213">
        <v>860</v>
      </c>
      <c r="V77" s="213">
        <f t="shared" si="26"/>
        <v>881.64843835616443</v>
      </c>
      <c r="W77" s="32">
        <f t="shared" si="30"/>
        <v>899.28140712328775</v>
      </c>
      <c r="X77" s="32">
        <f t="shared" si="31"/>
        <v>916.91437589041107</v>
      </c>
      <c r="Y77" t="s">
        <v>25</v>
      </c>
      <c r="Z77" s="122"/>
      <c r="AA77" t="s">
        <v>25</v>
      </c>
      <c r="AH77" s="20">
        <v>57</v>
      </c>
      <c r="AI77" s="117" t="s">
        <v>4273</v>
      </c>
      <c r="AJ77" s="117">
        <v>-300000</v>
      </c>
      <c r="AK77" s="20">
        <v>3</v>
      </c>
      <c r="AL77" s="99">
        <f t="shared" si="29"/>
        <v>484</v>
      </c>
      <c r="AM77" s="117">
        <f t="shared" si="11"/>
        <v>-145200000</v>
      </c>
      <c r="AN77" s="20"/>
    </row>
    <row r="78" spans="1:40" ht="26.25">
      <c r="D78" s="1" t="s">
        <v>321</v>
      </c>
      <c r="E78" s="1">
        <v>100000</v>
      </c>
      <c r="G78" s="47">
        <v>180000</v>
      </c>
      <c r="H78" s="201" t="s">
        <v>558</v>
      </c>
      <c r="K78" t="s">
        <v>4776</v>
      </c>
      <c r="M78" s="252"/>
      <c r="N78" s="115">
        <v>8644090</v>
      </c>
      <c r="O78" s="40" t="s">
        <v>1083</v>
      </c>
      <c r="Q78" s="169">
        <v>750391</v>
      </c>
      <c r="R78" s="19" t="s">
        <v>5583</v>
      </c>
      <c r="S78" s="197">
        <f>S77-7</f>
        <v>6</v>
      </c>
      <c r="T78" s="189" t="s">
        <v>5584</v>
      </c>
      <c r="U78" s="213">
        <v>9000</v>
      </c>
      <c r="V78" s="213">
        <f t="shared" si="26"/>
        <v>9178.2246575342469</v>
      </c>
      <c r="W78" s="32">
        <f t="shared" si="30"/>
        <v>9361.7891506849319</v>
      </c>
      <c r="X78" s="32">
        <f t="shared" si="31"/>
        <v>9545.3536438356168</v>
      </c>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K79" t="s">
        <v>4523</v>
      </c>
      <c r="M79" t="s">
        <v>4989</v>
      </c>
      <c r="N79" s="115">
        <v>65461942</v>
      </c>
      <c r="O79" s="304" t="s">
        <v>749</v>
      </c>
      <c r="Q79" s="169">
        <v>1762750</v>
      </c>
      <c r="R79" s="19" t="s">
        <v>5596</v>
      </c>
      <c r="S79" s="197">
        <f>S78-6</f>
        <v>0</v>
      </c>
      <c r="T79" s="189" t="s">
        <v>5604</v>
      </c>
      <c r="U79" s="213">
        <v>10699.9</v>
      </c>
      <c r="V79" s="213">
        <f t="shared" si="26"/>
        <v>10862.538480000001</v>
      </c>
      <c r="W79" s="32">
        <f t="shared" si="30"/>
        <v>11079.7892496</v>
      </c>
      <c r="X79" s="32">
        <f t="shared" si="31"/>
        <v>11297.040019200002</v>
      </c>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4566</v>
      </c>
      <c r="M80" s="257" t="s">
        <v>5025</v>
      </c>
      <c r="N80" s="115">
        <v>130382924</v>
      </c>
      <c r="O80" s="40" t="s">
        <v>452</v>
      </c>
      <c r="Q80" s="169"/>
      <c r="R80" s="19"/>
      <c r="S80" s="197"/>
      <c r="T80" s="189"/>
      <c r="U80" s="213"/>
      <c r="V80" s="213"/>
      <c r="W80" s="32"/>
      <c r="X80" s="32"/>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4522</v>
      </c>
      <c r="M81" s="257" t="s">
        <v>5026</v>
      </c>
      <c r="N81">
        <v>3283000</v>
      </c>
      <c r="O81" s="40" t="s">
        <v>5598</v>
      </c>
      <c r="Q81" s="169"/>
      <c r="R81" s="168"/>
      <c r="S81" s="113"/>
      <c r="T81" s="113"/>
      <c r="U81" s="168" t="s">
        <v>25</v>
      </c>
      <c r="V81" s="213" t="e">
        <f>U81*(1+$R$86+$Q$15*S81/36500)</f>
        <v>#VALUE!</v>
      </c>
      <c r="W81" s="32" t="e">
        <f t="shared" si="30"/>
        <v>#VALUE!</v>
      </c>
      <c r="X81" s="32" t="e">
        <f t="shared" si="31"/>
        <v>#VALUE!</v>
      </c>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K82" s="22" t="s">
        <v>4233</v>
      </c>
      <c r="N82">
        <v>8820392</v>
      </c>
      <c r="O82" s="40" t="s">
        <v>5599</v>
      </c>
      <c r="Q82" s="113">
        <f>SUM(N27:N29)-SUM(Q60:Q81)</f>
        <v>159496793.40000001</v>
      </c>
      <c r="R82" s="168"/>
      <c r="S82" s="168"/>
      <c r="T82" s="168"/>
      <c r="U82" s="168"/>
      <c r="V82" s="168"/>
      <c r="W82" s="32"/>
      <c r="X82" s="32"/>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K83" t="s">
        <v>4519</v>
      </c>
      <c r="N83">
        <v>1410073</v>
      </c>
      <c r="O83" s="303" t="s">
        <v>5600</v>
      </c>
      <c r="R83" s="115"/>
      <c r="S83" s="115"/>
      <c r="T83" s="115" t="s">
        <v>25</v>
      </c>
      <c r="U83" s="115" t="s">
        <v>25</v>
      </c>
      <c r="V83" s="115" t="s">
        <v>25</v>
      </c>
      <c r="W83" s="194" t="s">
        <v>25</v>
      </c>
      <c r="X83" s="194"/>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c r="D84" s="18" t="s">
        <v>311</v>
      </c>
      <c r="E84" s="18">
        <v>300000</v>
      </c>
      <c r="G84" s="47">
        <v>500000</v>
      </c>
      <c r="H84" s="48" t="s">
        <v>564</v>
      </c>
      <c r="J84">
        <v>0</v>
      </c>
      <c r="K84" t="s">
        <v>4286</v>
      </c>
      <c r="Q84" s="99" t="s">
        <v>946</v>
      </c>
      <c r="R84" s="99">
        <v>1.03E-2</v>
      </c>
      <c r="S84" s="26" t="s">
        <v>25</v>
      </c>
      <c r="T84" t="s">
        <v>25</v>
      </c>
      <c r="U84" s="96" t="s">
        <v>25</v>
      </c>
      <c r="V84" s="115" t="s">
        <v>25</v>
      </c>
      <c r="W84" s="194" t="s">
        <v>25</v>
      </c>
      <c r="X84" s="194"/>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c r="D85" s="32" t="s">
        <v>312</v>
      </c>
      <c r="E85" s="1">
        <v>200000</v>
      </c>
      <c r="G85" s="47">
        <v>50000</v>
      </c>
      <c r="H85" s="48" t="s">
        <v>790</v>
      </c>
      <c r="K85" t="s">
        <v>25</v>
      </c>
      <c r="M85" s="193" t="s">
        <v>4518</v>
      </c>
      <c r="Q85" s="99" t="s">
        <v>61</v>
      </c>
      <c r="R85" s="99">
        <v>4.8999999999999998E-3</v>
      </c>
      <c r="T85" s="114" t="s">
        <v>25</v>
      </c>
      <c r="U85" s="96" t="s">
        <v>25</v>
      </c>
      <c r="V85" t="s">
        <v>25</v>
      </c>
      <c r="W85" s="194" t="s">
        <v>25</v>
      </c>
      <c r="X85" s="194"/>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c r="D86" s="32" t="s">
        <v>313</v>
      </c>
      <c r="E86" s="1">
        <v>20000</v>
      </c>
      <c r="G86" s="47">
        <v>140000</v>
      </c>
      <c r="H86" s="48" t="s">
        <v>314</v>
      </c>
      <c r="K86" s="96"/>
      <c r="M86" t="s">
        <v>4519</v>
      </c>
      <c r="Q86" s="99" t="s">
        <v>6</v>
      </c>
      <c r="R86" s="99">
        <f>R84+R85</f>
        <v>1.52E-2</v>
      </c>
      <c r="T86" t="s">
        <v>25</v>
      </c>
      <c r="U86" s="96" t="s">
        <v>25</v>
      </c>
      <c r="V86" t="s">
        <v>25</v>
      </c>
      <c r="W86" s="194"/>
      <c r="X86" s="194"/>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s="96"/>
      <c r="M87" t="s">
        <v>4522</v>
      </c>
      <c r="W87" s="194"/>
      <c r="X87" s="194"/>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ht="30">
      <c r="D88" s="32" t="s">
        <v>316</v>
      </c>
      <c r="E88" s="1">
        <v>90000</v>
      </c>
      <c r="G88" s="47">
        <f>SUM(G76:G87)</f>
        <v>2645000</v>
      </c>
      <c r="H88" s="48" t="s">
        <v>6</v>
      </c>
      <c r="K88" s="96"/>
      <c r="M88" t="s">
        <v>4523</v>
      </c>
      <c r="Q88" s="73" t="s">
        <v>4285</v>
      </c>
      <c r="R88" s="112"/>
      <c r="S88" s="112"/>
      <c r="T88" s="112"/>
      <c r="U88" s="168" t="s">
        <v>4352</v>
      </c>
      <c r="V88" s="36" t="s">
        <v>4354</v>
      </c>
      <c r="W88" s="32"/>
      <c r="X88" s="32"/>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s="96"/>
      <c r="N89" s="96"/>
      <c r="Q89" s="112" t="s">
        <v>267</v>
      </c>
      <c r="R89" s="112" t="s">
        <v>180</v>
      </c>
      <c r="S89" s="112" t="s">
        <v>183</v>
      </c>
      <c r="T89" s="112" t="s">
        <v>8</v>
      </c>
      <c r="U89" s="168"/>
      <c r="V89" s="99"/>
      <c r="W89" s="32">
        <v>2</v>
      </c>
      <c r="X89" s="32">
        <v>4</v>
      </c>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F90" s="96"/>
      <c r="G90" s="96"/>
      <c r="H90" s="96"/>
      <c r="I90" s="96"/>
      <c r="J90" s="96"/>
      <c r="K90" s="96"/>
      <c r="L90" s="96"/>
      <c r="M90" s="96"/>
      <c r="N90" s="96"/>
      <c r="Q90" s="35">
        <v>184971545</v>
      </c>
      <c r="R90" s="5" t="s">
        <v>4166</v>
      </c>
      <c r="S90" s="5">
        <v>584</v>
      </c>
      <c r="T90" s="5" t="s">
        <v>4335</v>
      </c>
      <c r="U90" s="168">
        <v>192</v>
      </c>
      <c r="V90" s="99">
        <f t="shared" ref="V90:V121" si="33">U90*(1+$R$86+$Q$15*S90/36500)</f>
        <v>280.93439999999998</v>
      </c>
      <c r="W90" s="32">
        <f t="shared" ref="W90:W105" si="34">V90*(1+$W$19/100)</f>
        <v>286.553088</v>
      </c>
      <c r="X90" s="32">
        <f t="shared" ref="X90:X105" si="35">V90*(1+$X$19/100)</f>
        <v>292.17177599999997</v>
      </c>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c r="D91" s="32" t="s">
        <v>318</v>
      </c>
      <c r="E91" s="1">
        <v>15000</v>
      </c>
      <c r="F91" s="96"/>
      <c r="G91" s="96"/>
      <c r="H91" s="96"/>
      <c r="I91" s="96"/>
      <c r="J91" s="96"/>
      <c r="K91" s="96"/>
      <c r="L91" s="96"/>
      <c r="Q91" s="35">
        <v>9560464</v>
      </c>
      <c r="R91" s="5" t="s">
        <v>4289</v>
      </c>
      <c r="S91" s="5">
        <f>S90-31</f>
        <v>553</v>
      </c>
      <c r="T91" s="5" t="s">
        <v>4302</v>
      </c>
      <c r="U91" s="168">
        <v>214.57</v>
      </c>
      <c r="V91" s="99">
        <f t="shared" si="33"/>
        <v>308.85617304109593</v>
      </c>
      <c r="W91" s="32">
        <f t="shared" si="34"/>
        <v>315.03329650191785</v>
      </c>
      <c r="X91" s="32">
        <f t="shared" si="35"/>
        <v>321.21041996273976</v>
      </c>
      <c r="Z91" s="115"/>
      <c r="AA91" s="115"/>
      <c r="AE91"/>
      <c r="AG91" s="96"/>
      <c r="AH91" s="20">
        <v>71</v>
      </c>
      <c r="AI91" s="117" t="s">
        <v>4474</v>
      </c>
      <c r="AJ91" s="117">
        <v>2648000</v>
      </c>
      <c r="AK91" s="20">
        <v>1</v>
      </c>
      <c r="AL91" s="99">
        <f t="shared" si="29"/>
        <v>440</v>
      </c>
      <c r="AM91" s="117">
        <f t="shared" si="11"/>
        <v>1165120000</v>
      </c>
      <c r="AN91" s="20" t="s">
        <v>4475</v>
      </c>
      <c r="AU91" s="96" t="s">
        <v>25</v>
      </c>
    </row>
    <row r="92" spans="4:52">
      <c r="D92" s="32" t="s">
        <v>319</v>
      </c>
      <c r="E92" s="1">
        <v>20000</v>
      </c>
      <c r="F92" s="96"/>
      <c r="G92" s="96"/>
      <c r="H92" s="96"/>
      <c r="I92" s="96"/>
      <c r="J92" s="96"/>
      <c r="K92" s="96"/>
      <c r="M92" t="s">
        <v>5282</v>
      </c>
      <c r="P92" t="s">
        <v>25</v>
      </c>
      <c r="Q92" s="35">
        <v>2000000</v>
      </c>
      <c r="R92" s="5" t="s">
        <v>4332</v>
      </c>
      <c r="S92" s="5">
        <f>S91-11</f>
        <v>542</v>
      </c>
      <c r="T92" s="5" t="s">
        <v>4334</v>
      </c>
      <c r="U92" s="168">
        <v>206.8</v>
      </c>
      <c r="V92" s="99">
        <f t="shared" si="33"/>
        <v>295.92683397260276</v>
      </c>
      <c r="W92" s="32">
        <f t="shared" si="34"/>
        <v>301.84537065205484</v>
      </c>
      <c r="X92" s="32">
        <f t="shared" si="35"/>
        <v>307.76390733150691</v>
      </c>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c r="K93" s="96" t="s">
        <v>25</v>
      </c>
      <c r="M93" t="s">
        <v>5288</v>
      </c>
      <c r="P93" s="115"/>
      <c r="Q93" s="35">
        <v>1429825</v>
      </c>
      <c r="R93" s="5" t="s">
        <v>4361</v>
      </c>
      <c r="S93" s="5">
        <f>S92-7</f>
        <v>535</v>
      </c>
      <c r="T93" s="5" t="s">
        <v>4370</v>
      </c>
      <c r="U93" s="168">
        <v>203.9</v>
      </c>
      <c r="V93" s="99">
        <f t="shared" si="33"/>
        <v>290.68207452054799</v>
      </c>
      <c r="W93" s="32">
        <f t="shared" si="34"/>
        <v>296.49571601095897</v>
      </c>
      <c r="X93" s="32">
        <f t="shared" si="35"/>
        <v>302.3093575013699</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t="s">
        <v>25</v>
      </c>
      <c r="P94" s="128"/>
      <c r="Q94" s="35">
        <v>1420747</v>
      </c>
      <c r="R94" s="5" t="s">
        <v>4361</v>
      </c>
      <c r="S94" s="5">
        <f>S93</f>
        <v>535</v>
      </c>
      <c r="T94" s="5" t="s">
        <v>4372</v>
      </c>
      <c r="U94" s="168">
        <v>203.1</v>
      </c>
      <c r="V94" s="99">
        <f t="shared" si="33"/>
        <v>289.54158575342467</v>
      </c>
      <c r="W94" s="32">
        <f t="shared" si="34"/>
        <v>295.33241746849319</v>
      </c>
      <c r="X94" s="32">
        <f t="shared" si="35"/>
        <v>301.12324918356165</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t="s">
        <v>25</v>
      </c>
      <c r="J95" s="96" t="s">
        <v>25</v>
      </c>
      <c r="K95" s="96" t="s">
        <v>25</v>
      </c>
      <c r="P95" s="128"/>
      <c r="Q95" s="35">
        <v>2010885</v>
      </c>
      <c r="R95" s="5" t="s">
        <v>4381</v>
      </c>
      <c r="S95" s="5">
        <f>S94-3</f>
        <v>532</v>
      </c>
      <c r="T95" s="5" t="s">
        <v>4386</v>
      </c>
      <c r="U95" s="168">
        <v>202.1</v>
      </c>
      <c r="V95" s="99">
        <f t="shared" si="33"/>
        <v>287.6508679452055</v>
      </c>
      <c r="W95" s="32">
        <f t="shared" si="34"/>
        <v>293.40388530410962</v>
      </c>
      <c r="X95" s="32">
        <f t="shared" si="35"/>
        <v>299.15690266301374</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s="96" t="s">
        <v>25</v>
      </c>
      <c r="M96" s="96"/>
      <c r="N96" s="96"/>
      <c r="P96" s="115"/>
      <c r="Q96" s="35">
        <v>1971103</v>
      </c>
      <c r="R96" s="5" t="s">
        <v>4402</v>
      </c>
      <c r="S96" s="5">
        <f>S95-4</f>
        <v>528</v>
      </c>
      <c r="T96" s="5" t="s">
        <v>4403</v>
      </c>
      <c r="U96" s="168">
        <v>196.2</v>
      </c>
      <c r="V96" s="99">
        <f t="shared" si="33"/>
        <v>278.65130301369862</v>
      </c>
      <c r="W96" s="32">
        <f t="shared" si="34"/>
        <v>284.22432907397263</v>
      </c>
      <c r="X96" s="32">
        <f t="shared" si="35"/>
        <v>289.79735513424657</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F97" s="96"/>
      <c r="G97" s="96"/>
      <c r="H97" s="96"/>
      <c r="I97" s="96"/>
      <c r="J97" s="96" t="s">
        <v>25</v>
      </c>
      <c r="K97" s="96" t="s">
        <v>25</v>
      </c>
      <c r="L97" s="96"/>
      <c r="M97" s="96"/>
      <c r="N97" s="96"/>
      <c r="Q97" s="35">
        <v>1049856</v>
      </c>
      <c r="R97" s="5" t="s">
        <v>4422</v>
      </c>
      <c r="S97" s="5">
        <f>S96-6</f>
        <v>522</v>
      </c>
      <c r="T97" s="5" t="s">
        <v>4460</v>
      </c>
      <c r="U97" s="168">
        <v>184.5</v>
      </c>
      <c r="V97" s="99">
        <f t="shared" si="33"/>
        <v>261.1852767123288</v>
      </c>
      <c r="W97" s="32">
        <f t="shared" si="34"/>
        <v>266.40898224657536</v>
      </c>
      <c r="X97" s="32">
        <f t="shared" si="35"/>
        <v>271.63268778082198</v>
      </c>
      <c r="Y97">
        <v>6980</v>
      </c>
      <c r="AH97" s="99">
        <v>77</v>
      </c>
      <c r="AI97" s="113" t="s">
        <v>4496</v>
      </c>
      <c r="AJ97" s="113">
        <v>1900000</v>
      </c>
      <c r="AK97" s="99">
        <v>3</v>
      </c>
      <c r="AL97" s="99">
        <f t="shared" si="36"/>
        <v>428</v>
      </c>
      <c r="AM97" s="117">
        <f t="shared" si="11"/>
        <v>813200000</v>
      </c>
      <c r="AN97" s="99"/>
    </row>
    <row r="98" spans="4:47">
      <c r="D98" s="2"/>
      <c r="E98" s="3"/>
      <c r="F98" s="96"/>
      <c r="G98" s="96"/>
      <c r="H98" s="96"/>
      <c r="I98" s="96"/>
      <c r="J98" s="96" t="s">
        <v>25</v>
      </c>
      <c r="K98" s="96"/>
      <c r="L98" s="96"/>
      <c r="M98" s="96"/>
      <c r="N98" s="96"/>
      <c r="Q98" s="35">
        <v>1783234</v>
      </c>
      <c r="R98" s="5" t="s">
        <v>4424</v>
      </c>
      <c r="S98" s="5">
        <f>S97-2</f>
        <v>520</v>
      </c>
      <c r="T98" s="5" t="s">
        <v>4425</v>
      </c>
      <c r="U98" s="168">
        <v>177.5</v>
      </c>
      <c r="V98" s="99">
        <f t="shared" si="33"/>
        <v>251.00347945205482</v>
      </c>
      <c r="W98" s="32">
        <f t="shared" si="34"/>
        <v>256.02354904109592</v>
      </c>
      <c r="X98" s="32">
        <f t="shared" si="35"/>
        <v>261.04361863013702</v>
      </c>
      <c r="Y98">
        <v>6963</v>
      </c>
      <c r="AH98" s="99">
        <v>78</v>
      </c>
      <c r="AI98" s="113" t="s">
        <v>4509</v>
      </c>
      <c r="AJ98" s="113">
        <v>6400000</v>
      </c>
      <c r="AK98" s="99">
        <v>1</v>
      </c>
      <c r="AL98" s="99">
        <f t="shared" si="36"/>
        <v>425</v>
      </c>
      <c r="AM98" s="117">
        <f t="shared" si="11"/>
        <v>2720000000</v>
      </c>
      <c r="AN98" s="99"/>
      <c r="AT98" s="96" t="s">
        <v>25</v>
      </c>
    </row>
    <row r="99" spans="4:47">
      <c r="D99" s="2"/>
      <c r="E99" s="3"/>
      <c r="F99" s="96"/>
      <c r="G99" s="96"/>
      <c r="H99" s="96"/>
      <c r="I99" s="96"/>
      <c r="J99" s="96" t="s">
        <v>25</v>
      </c>
      <c r="K99" t="s">
        <v>25</v>
      </c>
      <c r="L99" s="96"/>
      <c r="M99" s="96"/>
      <c r="N99" s="96"/>
      <c r="Q99" s="35">
        <v>1662335</v>
      </c>
      <c r="R99" s="5" t="s">
        <v>4428</v>
      </c>
      <c r="S99" s="5">
        <f>S98-5</f>
        <v>515</v>
      </c>
      <c r="T99" s="218" t="s">
        <v>4574</v>
      </c>
      <c r="U99" s="168">
        <v>190.3</v>
      </c>
      <c r="V99" s="99">
        <f t="shared" si="33"/>
        <v>268.3740942465754</v>
      </c>
      <c r="W99" s="32">
        <f t="shared" si="34"/>
        <v>273.74157613150692</v>
      </c>
      <c r="X99" s="32">
        <f t="shared" si="35"/>
        <v>279.10905801643844</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J100" t="s">
        <v>25</v>
      </c>
      <c r="Q100" s="35">
        <v>2272487</v>
      </c>
      <c r="R100" s="5" t="s">
        <v>4584</v>
      </c>
      <c r="S100" s="5">
        <f>S99-42</f>
        <v>473</v>
      </c>
      <c r="T100" s="5" t="s">
        <v>4585</v>
      </c>
      <c r="U100" s="168">
        <v>174.9</v>
      </c>
      <c r="V100" s="99">
        <f t="shared" si="33"/>
        <v>241.0208252054795</v>
      </c>
      <c r="W100" s="32">
        <f t="shared" si="34"/>
        <v>245.8412417095891</v>
      </c>
      <c r="X100" s="32">
        <f t="shared" si="35"/>
        <v>250.66165821369867</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Q101" s="35">
        <v>3975257</v>
      </c>
      <c r="R101" s="5" t="s">
        <v>4589</v>
      </c>
      <c r="S101" s="5">
        <f>S100-1</f>
        <v>472</v>
      </c>
      <c r="T101" s="5" t="s">
        <v>4590</v>
      </c>
      <c r="U101" s="168">
        <v>173</v>
      </c>
      <c r="V101" s="99">
        <f t="shared" si="33"/>
        <v>238.2698191780822</v>
      </c>
      <c r="W101" s="32">
        <f t="shared" si="34"/>
        <v>243.03521556164384</v>
      </c>
      <c r="X101" s="32">
        <f t="shared" si="35"/>
        <v>247.8006119452055</v>
      </c>
      <c r="Y101" s="96">
        <v>0</v>
      </c>
      <c r="AH101" s="99">
        <v>81</v>
      </c>
      <c r="AI101" s="113" t="s">
        <v>4542</v>
      </c>
      <c r="AJ101" s="113">
        <v>400000</v>
      </c>
      <c r="AK101" s="99">
        <v>0</v>
      </c>
      <c r="AL101" s="99">
        <f t="shared" si="36"/>
        <v>418</v>
      </c>
      <c r="AM101" s="117">
        <f t="shared" si="11"/>
        <v>167200000</v>
      </c>
      <c r="AN101" s="99"/>
    </row>
    <row r="102" spans="4:47">
      <c r="F102" s="213" t="s">
        <v>4664</v>
      </c>
      <c r="G102" s="213" t="s">
        <v>938</v>
      </c>
      <c r="H102" s="213" t="s">
        <v>4657</v>
      </c>
      <c r="I102" s="213" t="s">
        <v>4656</v>
      </c>
      <c r="J102" s="32" t="s">
        <v>4524</v>
      </c>
      <c r="K102" s="213" t="s">
        <v>4650</v>
      </c>
      <c r="L102" s="32" t="s">
        <v>4652</v>
      </c>
      <c r="M102" s="32" t="s">
        <v>4627</v>
      </c>
      <c r="N102" s="213" t="s">
        <v>4628</v>
      </c>
      <c r="Q102" s="35">
        <v>1031662</v>
      </c>
      <c r="R102" s="5" t="s">
        <v>4224</v>
      </c>
      <c r="S102" s="5">
        <f>S101-1</f>
        <v>471</v>
      </c>
      <c r="T102" s="5" t="s">
        <v>4592</v>
      </c>
      <c r="U102" s="168">
        <v>171.2</v>
      </c>
      <c r="V102" s="99">
        <f t="shared" si="33"/>
        <v>235.65937972602742</v>
      </c>
      <c r="W102" s="32">
        <f t="shared" si="34"/>
        <v>240.37256732054797</v>
      </c>
      <c r="X102" s="32">
        <f t="shared" si="35"/>
        <v>245.08575491506852</v>
      </c>
      <c r="Y102" s="96">
        <v>0</v>
      </c>
      <c r="AH102" s="99">
        <v>82</v>
      </c>
      <c r="AI102" s="113" t="s">
        <v>4542</v>
      </c>
      <c r="AJ102" s="113">
        <v>-2105421</v>
      </c>
      <c r="AK102" s="99">
        <v>1</v>
      </c>
      <c r="AL102" s="99">
        <f t="shared" si="36"/>
        <v>418</v>
      </c>
      <c r="AM102" s="117">
        <f t="shared" si="11"/>
        <v>-880065978</v>
      </c>
      <c r="AN102" s="99"/>
      <c r="AO102" t="s">
        <v>25</v>
      </c>
    </row>
    <row r="103" spans="4:47">
      <c r="F103" s="199">
        <f>$L$111/G103</f>
        <v>6770.2870220272716</v>
      </c>
      <c r="G103" s="199">
        <f>P48</f>
        <v>1048.7</v>
      </c>
      <c r="H103" s="199" t="s">
        <v>4757</v>
      </c>
      <c r="I103" s="199" t="s">
        <v>5425</v>
      </c>
      <c r="J103" s="214" t="s">
        <v>4233</v>
      </c>
      <c r="K103" s="199">
        <v>210</v>
      </c>
      <c r="L103" s="215">
        <f t="shared" ref="L103:L108" si="37">K103*$L$111</f>
        <v>1491000000</v>
      </c>
      <c r="M103" s="215">
        <f>N21+N29+N48+N42</f>
        <v>4341873882.8000002</v>
      </c>
      <c r="N103" s="183">
        <f>L103-M103</f>
        <v>-2850873882.8000002</v>
      </c>
      <c r="O103">
        <f>M103/P48</f>
        <v>4140244</v>
      </c>
      <c r="P103" s="1">
        <f>O103*50</f>
        <v>207012200</v>
      </c>
      <c r="Q103" s="35">
        <v>577500</v>
      </c>
      <c r="R103" s="5" t="s">
        <v>4224</v>
      </c>
      <c r="S103" s="5">
        <f>S102</f>
        <v>471</v>
      </c>
      <c r="T103" s="5" t="s">
        <v>4596</v>
      </c>
      <c r="U103" s="168">
        <v>175</v>
      </c>
      <c r="V103" s="99">
        <f t="shared" si="33"/>
        <v>240.8901369863014</v>
      </c>
      <c r="W103" s="32">
        <f t="shared" si="34"/>
        <v>245.70793972602743</v>
      </c>
      <c r="X103" s="32">
        <f t="shared" si="35"/>
        <v>250.52574246575347</v>
      </c>
      <c r="Y103" s="96">
        <v>10000</v>
      </c>
      <c r="AH103" s="99">
        <v>83</v>
      </c>
      <c r="AI103" s="113" t="s">
        <v>4545</v>
      </c>
      <c r="AJ103" s="113">
        <v>-5527618</v>
      </c>
      <c r="AK103" s="99">
        <v>0</v>
      </c>
      <c r="AL103" s="99">
        <f t="shared" si="36"/>
        <v>417</v>
      </c>
      <c r="AM103" s="117">
        <f t="shared" si="11"/>
        <v>-2305016706</v>
      </c>
      <c r="AN103" s="99"/>
    </row>
    <row r="104" spans="4:47">
      <c r="F104" s="213">
        <v>0</v>
      </c>
      <c r="G104" s="213">
        <v>0</v>
      </c>
      <c r="H104" s="213" t="s">
        <v>4924</v>
      </c>
      <c r="I104" s="213" t="s">
        <v>5426</v>
      </c>
      <c r="J104" s="32" t="s">
        <v>4383</v>
      </c>
      <c r="K104" s="213">
        <v>28</v>
      </c>
      <c r="L104" s="1">
        <f t="shared" si="37"/>
        <v>198800000</v>
      </c>
      <c r="M104" s="1">
        <f>N46+N27+N22</f>
        <v>1050698812.8</v>
      </c>
      <c r="N104" s="113">
        <f t="shared" ref="N104:N108" si="38">L104-M104</f>
        <v>-851898812.79999995</v>
      </c>
      <c r="O104">
        <f>M104/P46</f>
        <v>85488</v>
      </c>
      <c r="P104" s="1">
        <f>O104*1300</f>
        <v>111134400</v>
      </c>
      <c r="Q104" s="35">
        <v>12636487</v>
      </c>
      <c r="R104" s="5" t="s">
        <v>3687</v>
      </c>
      <c r="S104" s="5">
        <f>S103-2</f>
        <v>469</v>
      </c>
      <c r="T104" s="5" t="s">
        <v>4599</v>
      </c>
      <c r="U104" s="168">
        <v>172.1</v>
      </c>
      <c r="V104" s="99">
        <f t="shared" si="33"/>
        <v>236.63419945205482</v>
      </c>
      <c r="W104" s="32">
        <f t="shared" si="34"/>
        <v>241.36688344109592</v>
      </c>
      <c r="X104" s="32">
        <f t="shared" si="35"/>
        <v>246.09956743013703</v>
      </c>
      <c r="Y104" s="96">
        <v>5664</v>
      </c>
      <c r="AH104" s="99">
        <v>84</v>
      </c>
      <c r="AI104" s="113" t="s">
        <v>4545</v>
      </c>
      <c r="AJ104" s="113">
        <v>3900000</v>
      </c>
      <c r="AK104" s="99">
        <v>3</v>
      </c>
      <c r="AL104" s="99">
        <f t="shared" si="36"/>
        <v>417</v>
      </c>
      <c r="AM104" s="117">
        <f t="shared" si="11"/>
        <v>1626300000</v>
      </c>
      <c r="AN104" s="99"/>
    </row>
    <row r="105" spans="4:47">
      <c r="F105" s="199">
        <v>0</v>
      </c>
      <c r="G105" s="199">
        <v>0</v>
      </c>
      <c r="H105" s="199" t="s">
        <v>5066</v>
      </c>
      <c r="I105" s="199" t="s">
        <v>5427</v>
      </c>
      <c r="J105" s="214" t="s">
        <v>4379</v>
      </c>
      <c r="K105" s="199">
        <v>5</v>
      </c>
      <c r="L105" s="215">
        <f t="shared" si="37"/>
        <v>35500000</v>
      </c>
      <c r="M105" s="215">
        <f>N45+N24</f>
        <v>316401036.30000001</v>
      </c>
      <c r="N105" s="183">
        <f t="shared" si="38"/>
        <v>-280901036.30000001</v>
      </c>
      <c r="O105">
        <v>0</v>
      </c>
      <c r="P105" s="1">
        <f>O105*1300</f>
        <v>0</v>
      </c>
      <c r="Q105" s="39">
        <v>11121445</v>
      </c>
      <c r="R105" s="5" t="s">
        <v>4602</v>
      </c>
      <c r="S105" s="5">
        <f>S104-3</f>
        <v>466</v>
      </c>
      <c r="T105" s="5" t="s">
        <v>4767</v>
      </c>
      <c r="U105" s="168">
        <v>171.8</v>
      </c>
      <c r="V105" s="99">
        <f t="shared" si="33"/>
        <v>235.82632986301374</v>
      </c>
      <c r="W105" s="32">
        <f t="shared" si="34"/>
        <v>240.54285646027401</v>
      </c>
      <c r="X105" s="32">
        <f t="shared" si="35"/>
        <v>245.25938305753431</v>
      </c>
      <c r="Y105" s="96">
        <v>10000</v>
      </c>
      <c r="AH105" s="99">
        <v>85</v>
      </c>
      <c r="AI105" s="113" t="s">
        <v>4546</v>
      </c>
      <c r="AJ105" s="113">
        <v>-3969754</v>
      </c>
      <c r="AK105" s="99">
        <v>1</v>
      </c>
      <c r="AL105" s="99">
        <f t="shared" si="36"/>
        <v>414</v>
      </c>
      <c r="AM105" s="117">
        <f t="shared" si="11"/>
        <v>-1643478156</v>
      </c>
      <c r="AN105" s="99"/>
    </row>
    <row r="106" spans="4:47">
      <c r="F106" s="189"/>
      <c r="G106" s="189"/>
      <c r="H106" s="189"/>
      <c r="I106" s="189"/>
      <c r="J106" s="281" t="s">
        <v>5428</v>
      </c>
      <c r="K106" s="189">
        <v>0</v>
      </c>
      <c r="L106" s="282">
        <f t="shared" si="37"/>
        <v>0</v>
      </c>
      <c r="M106" s="282">
        <f>N20+N26+N40</f>
        <v>23174</v>
      </c>
      <c r="N106" s="188">
        <f>L106-M106</f>
        <v>-23174</v>
      </c>
      <c r="P106" s="1"/>
      <c r="Q106" s="169">
        <v>6150141</v>
      </c>
      <c r="R106" s="213" t="s">
        <v>4842</v>
      </c>
      <c r="S106" s="213">
        <f>S105-79</f>
        <v>387</v>
      </c>
      <c r="T106" s="213" t="s">
        <v>4848</v>
      </c>
      <c r="U106" s="213">
        <v>180.6</v>
      </c>
      <c r="V106" s="99">
        <f t="shared" si="33"/>
        <v>236.96105424657537</v>
      </c>
      <c r="W106" s="32">
        <f t="shared" ref="W106:W121" si="39">V106*(1+$W$19/100)</f>
        <v>241.70027533150687</v>
      </c>
      <c r="X106" s="32">
        <f t="shared" ref="X106:X121" si="40">V106*(1+$X$19/100)</f>
        <v>246.4394964164384</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199"/>
      <c r="G107" s="199"/>
      <c r="H107" s="199"/>
      <c r="I107" s="199"/>
      <c r="J107" s="214" t="s">
        <v>314</v>
      </c>
      <c r="K107" s="199">
        <v>1</v>
      </c>
      <c r="L107" s="215">
        <f t="shared" si="37"/>
        <v>7100000</v>
      </c>
      <c r="M107" s="215">
        <v>0</v>
      </c>
      <c r="N107" s="183">
        <f>L107-M107</f>
        <v>7100000</v>
      </c>
      <c r="Q107" s="169">
        <v>1399908</v>
      </c>
      <c r="R107" s="213" t="s">
        <v>4910</v>
      </c>
      <c r="S107" s="213">
        <f>S106-20</f>
        <v>367</v>
      </c>
      <c r="T107" s="213" t="s">
        <v>4911</v>
      </c>
      <c r="U107" s="213">
        <v>194</v>
      </c>
      <c r="V107" s="99">
        <f t="shared" si="33"/>
        <v>251.56644383561647</v>
      </c>
      <c r="W107" s="32">
        <f t="shared" si="39"/>
        <v>256.59777271232878</v>
      </c>
      <c r="X107" s="32">
        <f t="shared" si="40"/>
        <v>261.62910158904111</v>
      </c>
      <c r="Y107" s="96"/>
      <c r="AA107" t="s">
        <v>25</v>
      </c>
      <c r="AH107" s="99">
        <v>87</v>
      </c>
      <c r="AI107" s="113" t="s">
        <v>4556</v>
      </c>
      <c r="AJ107" s="113">
        <v>4000000</v>
      </c>
      <c r="AK107" s="99">
        <v>1</v>
      </c>
      <c r="AL107" s="99">
        <f t="shared" si="36"/>
        <v>413</v>
      </c>
      <c r="AM107" s="117">
        <f t="shared" si="11"/>
        <v>1652000000</v>
      </c>
      <c r="AN107" s="99"/>
    </row>
    <row r="108" spans="4:47">
      <c r="F108" s="191"/>
      <c r="G108" s="191"/>
      <c r="H108" s="191"/>
      <c r="I108" s="191"/>
      <c r="J108" s="253" t="s">
        <v>5570</v>
      </c>
      <c r="K108" s="191">
        <v>555</v>
      </c>
      <c r="L108" s="254">
        <f t="shared" si="37"/>
        <v>3940500000</v>
      </c>
      <c r="M108" s="254">
        <v>0</v>
      </c>
      <c r="N108" s="86">
        <f t="shared" si="38"/>
        <v>3940500000</v>
      </c>
      <c r="Q108" s="169">
        <v>1204033</v>
      </c>
      <c r="R108" s="213" t="s">
        <v>4920</v>
      </c>
      <c r="S108" s="213">
        <f>S107-7</f>
        <v>360</v>
      </c>
      <c r="T108" s="213" t="s">
        <v>4923</v>
      </c>
      <c r="U108" s="213">
        <v>218.5</v>
      </c>
      <c r="V108" s="99">
        <f t="shared" si="33"/>
        <v>282.16311780821923</v>
      </c>
      <c r="W108" s="32">
        <f t="shared" si="39"/>
        <v>287.8063801643836</v>
      </c>
      <c r="X108" s="32">
        <f t="shared" si="40"/>
        <v>293.44964252054803</v>
      </c>
      <c r="Y108" s="96"/>
      <c r="AH108" s="99">
        <v>88</v>
      </c>
      <c r="AI108" s="113" t="s">
        <v>991</v>
      </c>
      <c r="AJ108" s="113">
        <v>-5000000</v>
      </c>
      <c r="AK108" s="99">
        <v>2</v>
      </c>
      <c r="AL108" s="99">
        <f t="shared" si="36"/>
        <v>412</v>
      </c>
      <c r="AM108" s="117">
        <f t="shared" si="11"/>
        <v>-2060000000</v>
      </c>
      <c r="AN108" s="99"/>
    </row>
    <row r="109" spans="4:47">
      <c r="F109" s="213"/>
      <c r="G109" s="213"/>
      <c r="H109" s="213"/>
      <c r="I109" s="213"/>
      <c r="J109" s="32" t="s">
        <v>4732</v>
      </c>
      <c r="K109" s="213"/>
      <c r="L109" s="1"/>
      <c r="M109" s="1"/>
      <c r="N109" s="113">
        <f>20000000-L41</f>
        <v>39000000</v>
      </c>
      <c r="O109" t="s">
        <v>25</v>
      </c>
      <c r="Q109" s="169">
        <v>8382674</v>
      </c>
      <c r="R109" s="213" t="s">
        <v>4930</v>
      </c>
      <c r="S109" s="213">
        <f>S108-7</f>
        <v>353</v>
      </c>
      <c r="T109" s="213" t="s">
        <v>4936</v>
      </c>
      <c r="U109" s="213">
        <v>192</v>
      </c>
      <c r="V109" s="99">
        <f t="shared" si="33"/>
        <v>246.91094794520549</v>
      </c>
      <c r="W109" s="32">
        <f t="shared" si="39"/>
        <v>251.84916690410961</v>
      </c>
      <c r="X109" s="32">
        <f t="shared" si="40"/>
        <v>256.7873858630137</v>
      </c>
      <c r="Y109" s="96"/>
      <c r="AD109" s="96"/>
      <c r="AE109"/>
      <c r="AF109"/>
      <c r="AH109" s="99">
        <v>89</v>
      </c>
      <c r="AI109" s="113" t="s">
        <v>4561</v>
      </c>
      <c r="AJ109" s="113">
        <v>10000000</v>
      </c>
      <c r="AK109" s="99">
        <v>4</v>
      </c>
      <c r="AL109" s="99">
        <f t="shared" si="36"/>
        <v>410</v>
      </c>
      <c r="AM109" s="117">
        <f t="shared" si="11"/>
        <v>4100000000</v>
      </c>
      <c r="AN109" s="99"/>
    </row>
    <row r="110" spans="4:47">
      <c r="F110" s="199"/>
      <c r="G110" s="199"/>
      <c r="H110" s="199"/>
      <c r="I110" s="199"/>
      <c r="J110" s="214" t="s">
        <v>5085</v>
      </c>
      <c r="K110" s="199">
        <f>SUM(K103:K108)</f>
        <v>799</v>
      </c>
      <c r="L110" s="215"/>
      <c r="M110" s="215"/>
      <c r="N110" s="183"/>
      <c r="Q110" s="169">
        <v>190884649</v>
      </c>
      <c r="R110" s="213" t="s">
        <v>4949</v>
      </c>
      <c r="S110" s="213">
        <f>S109-9</f>
        <v>344</v>
      </c>
      <c r="T110" s="213" t="s">
        <v>4952</v>
      </c>
      <c r="U110" s="213">
        <v>193.6</v>
      </c>
      <c r="V110" s="99">
        <f t="shared" si="33"/>
        <v>247.63190356164387</v>
      </c>
      <c r="W110" s="32">
        <f t="shared" si="39"/>
        <v>252.58454163287675</v>
      </c>
      <c r="X110" s="32">
        <f t="shared" si="40"/>
        <v>257.53717970410963</v>
      </c>
      <c r="AH110" s="99">
        <v>90</v>
      </c>
      <c r="AI110" s="113" t="s">
        <v>4563</v>
      </c>
      <c r="AJ110" s="113">
        <v>-5241937</v>
      </c>
      <c r="AK110" s="99">
        <v>0</v>
      </c>
      <c r="AL110" s="99">
        <f t="shared" si="36"/>
        <v>406</v>
      </c>
      <c r="AM110" s="117">
        <f t="shared" si="11"/>
        <v>-2128226422</v>
      </c>
      <c r="AN110" s="99"/>
    </row>
    <row r="111" spans="4:47">
      <c r="F111" s="213"/>
      <c r="G111" s="213"/>
      <c r="H111" s="213" t="s">
        <v>25</v>
      </c>
      <c r="I111" s="213"/>
      <c r="J111" s="32"/>
      <c r="K111" s="213">
        <v>0</v>
      </c>
      <c r="L111" s="39">
        <f>10*P50</f>
        <v>7100000</v>
      </c>
      <c r="M111" s="1">
        <f>K111*L111</f>
        <v>0</v>
      </c>
      <c r="N111" s="113">
        <f>SUM(N103:N109)-M111</f>
        <v>2903094.0999994278</v>
      </c>
      <c r="P111" s="114"/>
      <c r="Q111" s="169">
        <v>2099962</v>
      </c>
      <c r="R111" s="213" t="s">
        <v>4951</v>
      </c>
      <c r="S111" s="213">
        <f>S110-1</f>
        <v>343</v>
      </c>
      <c r="T111" s="213" t="s">
        <v>4955</v>
      </c>
      <c r="U111" s="213">
        <v>196.5</v>
      </c>
      <c r="V111" s="99">
        <f t="shared" si="33"/>
        <v>251.19052602739728</v>
      </c>
      <c r="W111" s="32">
        <f t="shared" si="39"/>
        <v>256.21433654794521</v>
      </c>
      <c r="X111" s="32">
        <f t="shared" si="40"/>
        <v>261.23814706849316</v>
      </c>
      <c r="AH111" s="99">
        <v>91</v>
      </c>
      <c r="AI111" s="113" t="s">
        <v>4563</v>
      </c>
      <c r="AJ111" s="113">
        <v>21900000</v>
      </c>
      <c r="AK111" s="99">
        <v>2</v>
      </c>
      <c r="AL111" s="99">
        <f t="shared" si="36"/>
        <v>406</v>
      </c>
      <c r="AM111" s="117">
        <f t="shared" si="11"/>
        <v>8891400000</v>
      </c>
      <c r="AN111" s="99"/>
      <c r="AP111" t="s">
        <v>25</v>
      </c>
      <c r="AU111"/>
    </row>
    <row r="112" spans="4:47">
      <c r="F112" s="199"/>
      <c r="G112" s="199"/>
      <c r="H112" s="199"/>
      <c r="I112" s="199"/>
      <c r="J112" s="214"/>
      <c r="K112" s="241"/>
      <c r="L112" s="215" t="s">
        <v>4243</v>
      </c>
      <c r="M112" s="215" t="s">
        <v>4644</v>
      </c>
      <c r="N112" s="183" t="s">
        <v>4645</v>
      </c>
      <c r="P112" t="s">
        <v>25</v>
      </c>
      <c r="Q112" s="169">
        <v>130756</v>
      </c>
      <c r="R112" s="213" t="s">
        <v>4956</v>
      </c>
      <c r="S112" s="213">
        <f>S111-1</f>
        <v>342</v>
      </c>
      <c r="T112" s="213" t="s">
        <v>4957</v>
      </c>
      <c r="U112" s="213">
        <v>197.8</v>
      </c>
      <c r="V112" s="99">
        <f t="shared" si="33"/>
        <v>252.70060931506853</v>
      </c>
      <c r="W112" s="32">
        <f t="shared" si="39"/>
        <v>257.75462150136991</v>
      </c>
      <c r="X112" s="32">
        <f t="shared" si="40"/>
        <v>262.80863368767126</v>
      </c>
      <c r="Y112">
        <v>13000</v>
      </c>
      <c r="AH112" s="99">
        <v>92</v>
      </c>
      <c r="AI112" s="113" t="s">
        <v>4571</v>
      </c>
      <c r="AJ112" s="113">
        <v>-15000000</v>
      </c>
      <c r="AK112" s="99">
        <v>0</v>
      </c>
      <c r="AL112" s="99">
        <f t="shared" si="36"/>
        <v>404</v>
      </c>
      <c r="AM112" s="117">
        <f t="shared" si="11"/>
        <v>-6060000000</v>
      </c>
      <c r="AN112" s="99"/>
      <c r="AO112" t="s">
        <v>25</v>
      </c>
    </row>
    <row r="113" spans="6:46">
      <c r="F113" s="213"/>
      <c r="G113" s="213"/>
      <c r="H113" s="213"/>
      <c r="I113" s="213"/>
      <c r="J113" s="32" t="s">
        <v>4651</v>
      </c>
      <c r="K113" s="213"/>
      <c r="L113" s="1"/>
      <c r="M113" s="1"/>
      <c r="N113" s="113"/>
      <c r="Q113" s="169">
        <v>795874</v>
      </c>
      <c r="R113" s="213" t="s">
        <v>4968</v>
      </c>
      <c r="S113" s="213">
        <f>S112-6</f>
        <v>336</v>
      </c>
      <c r="T113" s="213" t="s">
        <v>4969</v>
      </c>
      <c r="U113" s="213">
        <v>198.1</v>
      </c>
      <c r="V113" s="99">
        <f t="shared" si="33"/>
        <v>252.17207342465753</v>
      </c>
      <c r="W113" s="32">
        <f t="shared" si="39"/>
        <v>257.21551489315067</v>
      </c>
      <c r="X113" s="32">
        <f t="shared" si="40"/>
        <v>262.25895636164381</v>
      </c>
      <c r="Y113" t="s">
        <v>25</v>
      </c>
      <c r="AH113" s="99">
        <v>93</v>
      </c>
      <c r="AI113" s="113" t="s">
        <v>4571</v>
      </c>
      <c r="AJ113" s="113">
        <v>3000000</v>
      </c>
      <c r="AK113" s="99">
        <v>1</v>
      </c>
      <c r="AL113" s="99">
        <f t="shared" si="36"/>
        <v>404</v>
      </c>
      <c r="AM113" s="117">
        <f t="shared" si="11"/>
        <v>1212000000</v>
      </c>
      <c r="AN113" s="99"/>
    </row>
    <row r="114" spans="6:46">
      <c r="M114" t="s">
        <v>25</v>
      </c>
      <c r="Q114" s="169">
        <v>400348</v>
      </c>
      <c r="R114" s="213" t="s">
        <v>4971</v>
      </c>
      <c r="S114" s="213">
        <f>S113-1</f>
        <v>335</v>
      </c>
      <c r="T114" s="213" t="s">
        <v>4973</v>
      </c>
      <c r="U114" s="213">
        <v>199.3</v>
      </c>
      <c r="V114" s="99">
        <f t="shared" si="33"/>
        <v>253.54672986301372</v>
      </c>
      <c r="W114" s="32">
        <f t="shared" si="39"/>
        <v>258.617664460274</v>
      </c>
      <c r="X114" s="32">
        <f t="shared" si="40"/>
        <v>263.6885990575343</v>
      </c>
      <c r="Y114" t="s">
        <v>25</v>
      </c>
      <c r="AH114" s="99">
        <v>94</v>
      </c>
      <c r="AI114" s="113" t="s">
        <v>4575</v>
      </c>
      <c r="AJ114" s="113">
        <v>-2103736</v>
      </c>
      <c r="AK114" s="99">
        <v>0</v>
      </c>
      <c r="AL114" s="99">
        <f t="shared" si="36"/>
        <v>403</v>
      </c>
      <c r="AM114" s="117">
        <f t="shared" si="11"/>
        <v>-847805608</v>
      </c>
      <c r="AN114" s="99"/>
    </row>
    <row r="115" spans="6:46">
      <c r="I115" t="s">
        <v>25</v>
      </c>
      <c r="P115" s="114"/>
      <c r="Q115" s="169">
        <v>5896463</v>
      </c>
      <c r="R115" s="213" t="s">
        <v>4982</v>
      </c>
      <c r="S115" s="213">
        <f>S114-4</f>
        <v>331</v>
      </c>
      <c r="T115" s="213" t="s">
        <v>4983</v>
      </c>
      <c r="U115" s="213">
        <v>197.4</v>
      </c>
      <c r="V115" s="99">
        <f t="shared" si="33"/>
        <v>250.52385534246579</v>
      </c>
      <c r="W115" s="32">
        <f t="shared" si="39"/>
        <v>255.53433244931512</v>
      </c>
      <c r="X115" s="32">
        <f t="shared" si="40"/>
        <v>260.54480955616441</v>
      </c>
      <c r="AH115" s="99">
        <v>95</v>
      </c>
      <c r="AI115" s="113" t="s">
        <v>4575</v>
      </c>
      <c r="AJ115" s="113">
        <v>220000</v>
      </c>
      <c r="AK115" s="99">
        <v>3</v>
      </c>
      <c r="AL115" s="99">
        <f t="shared" si="36"/>
        <v>403</v>
      </c>
      <c r="AM115" s="117">
        <f t="shared" si="11"/>
        <v>88660000</v>
      </c>
      <c r="AN115" s="99"/>
      <c r="AR115" s="96"/>
      <c r="AS115" s="96"/>
      <c r="AT115"/>
    </row>
    <row r="116" spans="6:46">
      <c r="J116" s="114"/>
      <c r="K116" s="168" t="s">
        <v>4524</v>
      </c>
      <c r="L116" s="168" t="s">
        <v>4525</v>
      </c>
      <c r="M116" s="168" t="s">
        <v>4420</v>
      </c>
      <c r="N116" s="56" t="s">
        <v>190</v>
      </c>
      <c r="Q116" s="169">
        <v>1499873</v>
      </c>
      <c r="R116" s="213" t="s">
        <v>4995</v>
      </c>
      <c r="S116" s="213">
        <f>S115-8</f>
        <v>323</v>
      </c>
      <c r="T116" s="213" t="s">
        <v>4996</v>
      </c>
      <c r="U116" s="213">
        <v>200.1</v>
      </c>
      <c r="V116" s="99">
        <f t="shared" si="33"/>
        <v>252.72246246575344</v>
      </c>
      <c r="W116" s="32">
        <f t="shared" si="39"/>
        <v>257.77691171506854</v>
      </c>
      <c r="X116" s="32">
        <f t="shared" si="40"/>
        <v>262.83136096438358</v>
      </c>
      <c r="Y116">
        <v>23000</v>
      </c>
      <c r="AH116" s="99">
        <v>96</v>
      </c>
      <c r="AI116" s="113" t="s">
        <v>4584</v>
      </c>
      <c r="AJ116" s="113">
        <v>4000000</v>
      </c>
      <c r="AK116" s="99">
        <v>1</v>
      </c>
      <c r="AL116" s="99">
        <f t="shared" si="36"/>
        <v>400</v>
      </c>
      <c r="AM116" s="117">
        <f t="shared" si="11"/>
        <v>1600000000</v>
      </c>
      <c r="AN116" s="99"/>
    </row>
    <row r="117" spans="6:46">
      <c r="H117" s="114"/>
      <c r="K117" s="168" t="s">
        <v>4233</v>
      </c>
      <c r="L117" s="169">
        <v>1100000</v>
      </c>
      <c r="M117" s="169">
        <v>1637000</v>
      </c>
      <c r="N117" s="168">
        <f t="shared" ref="N117:N125" si="41">(M117-L117)*100/L117</f>
        <v>48.81818181818182</v>
      </c>
      <c r="Q117" s="169">
        <v>25141103</v>
      </c>
      <c r="R117" s="213" t="s">
        <v>5017</v>
      </c>
      <c r="S117" s="213">
        <f>S116-7</f>
        <v>316</v>
      </c>
      <c r="T117" s="213" t="s">
        <v>5020</v>
      </c>
      <c r="U117" s="213">
        <v>211.3</v>
      </c>
      <c r="V117" s="99">
        <f t="shared" si="33"/>
        <v>265.73319561643842</v>
      </c>
      <c r="W117" s="32">
        <f t="shared" si="39"/>
        <v>271.04785952876722</v>
      </c>
      <c r="X117" s="32">
        <f t="shared" si="40"/>
        <v>276.36252344109596</v>
      </c>
      <c r="Y117">
        <v>6000</v>
      </c>
      <c r="AH117" s="99">
        <v>97</v>
      </c>
      <c r="AI117" s="113" t="s">
        <v>4589</v>
      </c>
      <c r="AJ117" s="113">
        <v>-9000000</v>
      </c>
      <c r="AK117" s="99">
        <v>0</v>
      </c>
      <c r="AL117" s="99">
        <f t="shared" si="36"/>
        <v>399</v>
      </c>
      <c r="AM117" s="117">
        <f t="shared" si="11"/>
        <v>-3591000000</v>
      </c>
      <c r="AN117" s="99"/>
      <c r="AP117" t="s">
        <v>25</v>
      </c>
    </row>
    <row r="118" spans="6:46">
      <c r="F118" s="96"/>
      <c r="G118" s="213"/>
      <c r="H118" s="213" t="s">
        <v>5228</v>
      </c>
      <c r="I118" s="213" t="s">
        <v>5526</v>
      </c>
      <c r="J118" s="1">
        <v>79922415</v>
      </c>
      <c r="K118" s="5" t="s">
        <v>4519</v>
      </c>
      <c r="L118" s="169">
        <v>1100000</v>
      </c>
      <c r="M118" s="169">
        <v>4748000</v>
      </c>
      <c r="N118" s="168">
        <f t="shared" si="41"/>
        <v>331.63636363636363</v>
      </c>
      <c r="Q118" s="169">
        <v>120581</v>
      </c>
      <c r="R118" s="213" t="s">
        <v>5021</v>
      </c>
      <c r="S118" s="213">
        <f>S117-1</f>
        <v>315</v>
      </c>
      <c r="T118" s="213" t="s">
        <v>5022</v>
      </c>
      <c r="U118" s="213">
        <v>210.2</v>
      </c>
      <c r="V118" s="99">
        <f t="shared" si="33"/>
        <v>264.18857424657534</v>
      </c>
      <c r="W118" s="32">
        <f t="shared" si="39"/>
        <v>269.47234573150683</v>
      </c>
      <c r="X118" s="32">
        <f t="shared" si="40"/>
        <v>274.75611721643838</v>
      </c>
      <c r="AH118" s="99">
        <v>98</v>
      </c>
      <c r="AI118" s="113" t="s">
        <v>4589</v>
      </c>
      <c r="AJ118" s="113">
        <v>13900000</v>
      </c>
      <c r="AK118" s="99">
        <v>2</v>
      </c>
      <c r="AL118" s="99">
        <f t="shared" si="36"/>
        <v>399</v>
      </c>
      <c r="AM118" s="117">
        <f t="shared" si="11"/>
        <v>5546100000</v>
      </c>
      <c r="AN118" s="99"/>
    </row>
    <row r="119" spans="6:46">
      <c r="F119" s="96"/>
      <c r="G119" s="213" t="s">
        <v>938</v>
      </c>
      <c r="H119" s="213" t="s">
        <v>4524</v>
      </c>
      <c r="I119" s="213" t="s">
        <v>934</v>
      </c>
      <c r="J119" s="213" t="s">
        <v>4730</v>
      </c>
      <c r="K119" s="5" t="s">
        <v>4520</v>
      </c>
      <c r="L119" s="169">
        <v>1100000</v>
      </c>
      <c r="M119" s="169">
        <v>5137000</v>
      </c>
      <c r="N119" s="168">
        <f t="shared" si="41"/>
        <v>367</v>
      </c>
      <c r="Q119" s="169">
        <v>500951</v>
      </c>
      <c r="R119" s="213" t="s">
        <v>5021</v>
      </c>
      <c r="S119" s="213">
        <f>S118</f>
        <v>315</v>
      </c>
      <c r="T119" s="213" t="s">
        <v>5024</v>
      </c>
      <c r="U119" s="213">
        <v>209.6</v>
      </c>
      <c r="V119" s="99">
        <f t="shared" si="33"/>
        <v>263.43446794520548</v>
      </c>
      <c r="W119" s="32">
        <f t="shared" si="39"/>
        <v>268.7031573041096</v>
      </c>
      <c r="X119" s="32">
        <f t="shared" si="40"/>
        <v>273.97184666301371</v>
      </c>
      <c r="Y119">
        <v>3300</v>
      </c>
      <c r="AH119" s="99">
        <v>99</v>
      </c>
      <c r="AI119" s="113" t="s">
        <v>4597</v>
      </c>
      <c r="AJ119" s="113">
        <v>-8127577</v>
      </c>
      <c r="AK119" s="99">
        <v>1</v>
      </c>
      <c r="AL119" s="99">
        <f t="shared" si="36"/>
        <v>397</v>
      </c>
      <c r="AM119" s="117">
        <f t="shared" si="11"/>
        <v>-3226648069</v>
      </c>
      <c r="AN119" s="99"/>
      <c r="AO119" t="s">
        <v>25</v>
      </c>
      <c r="AQ119" t="s">
        <v>25</v>
      </c>
    </row>
    <row r="120" spans="6:46">
      <c r="F120" s="96"/>
      <c r="G120" s="1">
        <f>P48</f>
        <v>1048.7</v>
      </c>
      <c r="H120" s="213" t="s">
        <v>4233</v>
      </c>
      <c r="I120" s="213">
        <v>241029</v>
      </c>
      <c r="J120" s="1">
        <f>I120*G120</f>
        <v>252767112.30000001</v>
      </c>
      <c r="K120" s="19" t="s">
        <v>4379</v>
      </c>
      <c r="L120" s="169">
        <v>1100000</v>
      </c>
      <c r="M120" s="169">
        <v>4300000</v>
      </c>
      <c r="N120" s="168">
        <f t="shared" si="41"/>
        <v>290.90909090909093</v>
      </c>
      <c r="P120" s="114"/>
      <c r="Q120" s="169">
        <v>493081</v>
      </c>
      <c r="R120" s="213" t="s">
        <v>5027</v>
      </c>
      <c r="S120" s="213">
        <f>S119-1</f>
        <v>314</v>
      </c>
      <c r="T120" s="213" t="s">
        <v>5028</v>
      </c>
      <c r="U120" s="213">
        <v>205.1</v>
      </c>
      <c r="V120" s="99">
        <f t="shared" si="33"/>
        <v>257.62133369863017</v>
      </c>
      <c r="W120" s="32">
        <f t="shared" si="39"/>
        <v>262.77376037260279</v>
      </c>
      <c r="X120" s="32">
        <f t="shared" si="40"/>
        <v>267.92618704657536</v>
      </c>
      <c r="AH120" s="99">
        <v>100</v>
      </c>
      <c r="AI120" s="113" t="s">
        <v>3687</v>
      </c>
      <c r="AJ120" s="113">
        <v>15792549</v>
      </c>
      <c r="AK120" s="99">
        <v>3</v>
      </c>
      <c r="AL120" s="99">
        <f t="shared" si="36"/>
        <v>396</v>
      </c>
      <c r="AM120" s="117">
        <f t="shared" si="11"/>
        <v>6253849404</v>
      </c>
      <c r="AN120" s="99"/>
      <c r="AO120" t="s">
        <v>25</v>
      </c>
      <c r="AP120" t="s">
        <v>25</v>
      </c>
    </row>
    <row r="121" spans="6:46">
      <c r="F121" s="96"/>
      <c r="G121" s="1">
        <f>P46</f>
        <v>12290.6</v>
      </c>
      <c r="H121" s="213" t="s">
        <v>4383</v>
      </c>
      <c r="I121" s="213">
        <v>2535</v>
      </c>
      <c r="J121" s="1">
        <f t="shared" ref="J121" si="42">I121*G121</f>
        <v>31156671</v>
      </c>
      <c r="K121" s="5" t="s">
        <v>4397</v>
      </c>
      <c r="L121" s="169">
        <v>1100000</v>
      </c>
      <c r="M121" s="169">
        <v>3191000</v>
      </c>
      <c r="N121" s="168">
        <f t="shared" si="41"/>
        <v>190.09090909090909</v>
      </c>
      <c r="Q121" s="169">
        <v>16526209</v>
      </c>
      <c r="R121" s="213" t="s">
        <v>5030</v>
      </c>
      <c r="S121" s="213">
        <f>S120-3</f>
        <v>311</v>
      </c>
      <c r="T121" s="213" t="s">
        <v>5608</v>
      </c>
      <c r="U121" s="213">
        <v>203.6</v>
      </c>
      <c r="V121" s="99">
        <f t="shared" si="33"/>
        <v>255.26865972602744</v>
      </c>
      <c r="W121" s="32">
        <f t="shared" si="39"/>
        <v>260.37403292054802</v>
      </c>
      <c r="X121" s="32">
        <f t="shared" si="40"/>
        <v>265.47940611506857</v>
      </c>
      <c r="AH121" s="99">
        <v>101</v>
      </c>
      <c r="AI121" s="113" t="s">
        <v>4602</v>
      </c>
      <c r="AJ121" s="113">
        <v>8800000</v>
      </c>
      <c r="AK121" s="99">
        <v>0</v>
      </c>
      <c r="AL121" s="99">
        <f t="shared" ref="AL121:AL125" si="43">AL122+AK121</f>
        <v>393</v>
      </c>
      <c r="AM121" s="117">
        <f t="shared" ref="AM121:AM144" si="44">AJ121*AL121</f>
        <v>3458400000</v>
      </c>
      <c r="AN121" s="99"/>
      <c r="AP121" t="s">
        <v>25</v>
      </c>
    </row>
    <row r="122" spans="6:46" ht="45">
      <c r="F122" s="96"/>
      <c r="G122" s="1"/>
      <c r="H122" s="213" t="s">
        <v>25</v>
      </c>
      <c r="I122" s="213"/>
      <c r="J122" s="1"/>
      <c r="K122" s="5" t="s">
        <v>4521</v>
      </c>
      <c r="L122" s="169">
        <v>1100000</v>
      </c>
      <c r="M122" s="169">
        <v>5623000</v>
      </c>
      <c r="N122" s="168">
        <f t="shared" si="41"/>
        <v>411.18181818181819</v>
      </c>
      <c r="Q122" s="169">
        <v>7032.8</v>
      </c>
      <c r="R122" s="213" t="s">
        <v>5347</v>
      </c>
      <c r="S122" s="213">
        <f>S121-207</f>
        <v>104</v>
      </c>
      <c r="T122" s="213" t="s">
        <v>5355</v>
      </c>
      <c r="U122" s="213">
        <v>7001.1</v>
      </c>
      <c r="V122" s="99">
        <f t="shared" ref="V122:V150" si="45">U122*(1+$R$86+$Q$15*S122/36500)</f>
        <v>7666.0702323287678</v>
      </c>
      <c r="W122" s="32">
        <f t="shared" ref="W122:W129" si="46">V122*(1+$W$19/100)</f>
        <v>7819.3916369753433</v>
      </c>
      <c r="X122" s="32">
        <f t="shared" ref="X122:X129" si="47">V122*(1+$X$19/100)</f>
        <v>7972.7130416219188</v>
      </c>
      <c r="Y122" t="s">
        <v>25</v>
      </c>
      <c r="AH122" s="121">
        <v>102</v>
      </c>
      <c r="AI122" s="79" t="s">
        <v>4602</v>
      </c>
      <c r="AJ122" s="79">
        <v>13071612</v>
      </c>
      <c r="AK122" s="121">
        <v>1</v>
      </c>
      <c r="AL122" s="121">
        <f t="shared" si="43"/>
        <v>393</v>
      </c>
      <c r="AM122" s="79">
        <f t="shared" si="44"/>
        <v>5137143516</v>
      </c>
      <c r="AN122" s="205" t="s">
        <v>4603</v>
      </c>
    </row>
    <row r="123" spans="6:46">
      <c r="F123" s="96"/>
      <c r="G123" s="213"/>
      <c r="H123" s="213"/>
      <c r="I123" s="113">
        <f>J123-J118</f>
        <v>204001368.30000001</v>
      </c>
      <c r="J123" s="1">
        <f>SUM(J120:J122)</f>
        <v>283923783.30000001</v>
      </c>
      <c r="K123" s="19" t="s">
        <v>4383</v>
      </c>
      <c r="L123" s="169">
        <v>1100000</v>
      </c>
      <c r="M123" s="169">
        <v>7728000</v>
      </c>
      <c r="N123" s="168">
        <f t="shared" si="41"/>
        <v>602.5454545454545</v>
      </c>
      <c r="Q123" s="169">
        <v>4038752</v>
      </c>
      <c r="R123" s="213" t="s">
        <v>5360</v>
      </c>
      <c r="S123" s="213">
        <f>S122-6</f>
        <v>98</v>
      </c>
      <c r="T123" s="213" t="s">
        <v>5361</v>
      </c>
      <c r="U123" s="213">
        <v>7310</v>
      </c>
      <c r="V123" s="99">
        <f t="shared" si="45"/>
        <v>7970.6637808219193</v>
      </c>
      <c r="W123" s="32">
        <f t="shared" si="46"/>
        <v>8130.0770564383574</v>
      </c>
      <c r="X123" s="32">
        <f t="shared" si="47"/>
        <v>8289.4903320547965</v>
      </c>
      <c r="Y123" t="s">
        <v>25</v>
      </c>
      <c r="AH123" s="89">
        <v>103</v>
      </c>
      <c r="AI123" s="90" t="s">
        <v>4606</v>
      </c>
      <c r="AJ123" s="90">
        <v>16727037</v>
      </c>
      <c r="AK123" s="89">
        <v>0</v>
      </c>
      <c r="AL123" s="89">
        <f t="shared" si="43"/>
        <v>392</v>
      </c>
      <c r="AM123" s="90">
        <f t="shared" si="44"/>
        <v>6556998504</v>
      </c>
      <c r="AN123" s="89" t="s">
        <v>4613</v>
      </c>
    </row>
    <row r="124" spans="6:46">
      <c r="F124" s="96"/>
      <c r="G124" s="213"/>
      <c r="H124" s="213"/>
      <c r="I124" s="213" t="s">
        <v>914</v>
      </c>
      <c r="J124" s="213" t="s">
        <v>6</v>
      </c>
      <c r="K124" s="5" t="s">
        <v>4523</v>
      </c>
      <c r="L124" s="169">
        <v>1100000</v>
      </c>
      <c r="M124" s="169">
        <v>2904000</v>
      </c>
      <c r="N124" s="168">
        <f t="shared" si="41"/>
        <v>164</v>
      </c>
      <c r="Q124" s="169">
        <v>632415</v>
      </c>
      <c r="R124" s="213" t="s">
        <v>5368</v>
      </c>
      <c r="S124" s="213">
        <f>S123-5</f>
        <v>93</v>
      </c>
      <c r="T124" s="213" t="s">
        <v>5371</v>
      </c>
      <c r="U124" s="213">
        <v>7236.3</v>
      </c>
      <c r="V124" s="99">
        <f t="shared" si="45"/>
        <v>7862.5472449315084</v>
      </c>
      <c r="W124" s="32">
        <f t="shared" si="46"/>
        <v>8019.7981898301387</v>
      </c>
      <c r="X124" s="32">
        <f t="shared" si="47"/>
        <v>8177.0491347287689</v>
      </c>
      <c r="Y124" s="122" t="s">
        <v>25</v>
      </c>
      <c r="AH124" s="99">
        <v>104</v>
      </c>
      <c r="AI124" s="113" t="s">
        <v>4606</v>
      </c>
      <c r="AJ124" s="113">
        <v>12000000</v>
      </c>
      <c r="AK124" s="99">
        <v>1</v>
      </c>
      <c r="AL124" s="99">
        <f t="shared" si="43"/>
        <v>392</v>
      </c>
      <c r="AM124" s="117">
        <f t="shared" si="44"/>
        <v>4704000000</v>
      </c>
      <c r="AN124" s="99" t="s">
        <v>4614</v>
      </c>
    </row>
    <row r="125" spans="6:46">
      <c r="G125" s="41"/>
      <c r="H125" s="41"/>
      <c r="I125" s="41"/>
      <c r="J125" s="41"/>
      <c r="K125" s="259" t="s">
        <v>1082</v>
      </c>
      <c r="L125" s="169">
        <v>1100000</v>
      </c>
      <c r="M125" s="169">
        <v>3400000</v>
      </c>
      <c r="N125" s="168">
        <f t="shared" si="41"/>
        <v>209.09090909090909</v>
      </c>
      <c r="P125" s="114"/>
      <c r="Q125" s="169">
        <v>6417109</v>
      </c>
      <c r="R125" s="213" t="s">
        <v>5372</v>
      </c>
      <c r="S125" s="213">
        <f>S124-1</f>
        <v>92</v>
      </c>
      <c r="T125" s="213" t="s">
        <v>5373</v>
      </c>
      <c r="U125" s="213">
        <v>7097.9</v>
      </c>
      <c r="V125" s="99">
        <f t="shared" si="45"/>
        <v>7706.7248032876714</v>
      </c>
      <c r="W125" s="32">
        <f t="shared" si="46"/>
        <v>7860.8592993534248</v>
      </c>
      <c r="X125" s="32">
        <f t="shared" si="47"/>
        <v>8014.9937954191782</v>
      </c>
      <c r="Z125" t="s">
        <v>25</v>
      </c>
      <c r="AH125" s="89">
        <v>105</v>
      </c>
      <c r="AI125" s="90" t="s">
        <v>4535</v>
      </c>
      <c r="AJ125" s="90">
        <v>88697667</v>
      </c>
      <c r="AK125" s="89">
        <v>1</v>
      </c>
      <c r="AL125" s="89">
        <f t="shared" si="43"/>
        <v>391</v>
      </c>
      <c r="AM125" s="90">
        <f t="shared" si="44"/>
        <v>34680787797</v>
      </c>
      <c r="AN125" s="89" t="s">
        <v>4615</v>
      </c>
      <c r="AP125" t="s">
        <v>25</v>
      </c>
    </row>
    <row r="126" spans="6:46">
      <c r="G126" s="213"/>
      <c r="H126" s="213" t="s">
        <v>4271</v>
      </c>
      <c r="I126" s="213" t="s">
        <v>5374</v>
      </c>
      <c r="J126" s="1">
        <v>16319143</v>
      </c>
      <c r="K126" s="240" t="s">
        <v>5500</v>
      </c>
      <c r="Q126" s="169">
        <v>7802773</v>
      </c>
      <c r="R126" s="213" t="s">
        <v>5377</v>
      </c>
      <c r="S126" s="213">
        <f>S125-1</f>
        <v>91</v>
      </c>
      <c r="T126" s="213" t="s">
        <v>5379</v>
      </c>
      <c r="U126" s="213">
        <v>7100.1</v>
      </c>
      <c r="V126" s="99">
        <f t="shared" si="45"/>
        <v>7703.6668569863023</v>
      </c>
      <c r="W126" s="32">
        <f t="shared" si="46"/>
        <v>7857.7401941260287</v>
      </c>
      <c r="X126" s="32">
        <f t="shared" si="47"/>
        <v>8011.813531265755</v>
      </c>
      <c r="Y126" t="s">
        <v>25</v>
      </c>
      <c r="AH126" s="99">
        <v>106</v>
      </c>
      <c r="AI126" s="113" t="s">
        <v>4538</v>
      </c>
      <c r="AJ126" s="113">
        <v>101000</v>
      </c>
      <c r="AK126" s="99">
        <v>0</v>
      </c>
      <c r="AL126" s="99">
        <f>AL127+AK126</f>
        <v>390</v>
      </c>
      <c r="AM126" s="117">
        <f t="shared" si="44"/>
        <v>39390000</v>
      </c>
      <c r="AN126" s="99"/>
      <c r="AQ126" t="s">
        <v>25</v>
      </c>
    </row>
    <row r="127" spans="6:46">
      <c r="G127" s="1">
        <f>P48</f>
        <v>1048.7</v>
      </c>
      <c r="H127" s="213" t="s">
        <v>4233</v>
      </c>
      <c r="I127" s="213">
        <v>68595</v>
      </c>
      <c r="J127" s="1">
        <f>G127*I127</f>
        <v>71935576.5</v>
      </c>
      <c r="K127" s="240" t="s">
        <v>4552</v>
      </c>
      <c r="Q127" s="169">
        <v>497886</v>
      </c>
      <c r="R127" s="213" t="s">
        <v>5380</v>
      </c>
      <c r="S127" s="213">
        <f>S126-4</f>
        <v>87</v>
      </c>
      <c r="T127" s="213" t="s">
        <v>5381</v>
      </c>
      <c r="U127" s="213">
        <v>6980.8</v>
      </c>
      <c r="V127" s="99">
        <f t="shared" si="45"/>
        <v>7552.8048394520556</v>
      </c>
      <c r="W127" s="32">
        <f t="shared" si="46"/>
        <v>7703.8609362410971</v>
      </c>
      <c r="X127" s="32">
        <f t="shared" si="47"/>
        <v>7854.9170330301376</v>
      </c>
      <c r="AH127" s="149">
        <v>107</v>
      </c>
      <c r="AI127" s="188" t="s">
        <v>4612</v>
      </c>
      <c r="AJ127" s="188">
        <v>-48200</v>
      </c>
      <c r="AK127" s="149">
        <v>0</v>
      </c>
      <c r="AL127" s="149">
        <f t="shared" ref="AL127:AL177" si="48">AL128+AK127</f>
        <v>390</v>
      </c>
      <c r="AM127" s="188">
        <f t="shared" si="44"/>
        <v>-18798000</v>
      </c>
      <c r="AN127" s="149" t="s">
        <v>4620</v>
      </c>
    </row>
    <row r="128" spans="6:46">
      <c r="G128" s="213"/>
      <c r="H128" s="213"/>
      <c r="I128" s="213" t="s">
        <v>25</v>
      </c>
      <c r="J128" s="213" t="s">
        <v>25</v>
      </c>
      <c r="K128" s="240" t="s">
        <v>4553</v>
      </c>
      <c r="P128" t="s">
        <v>25</v>
      </c>
      <c r="Q128" s="169">
        <v>4160802</v>
      </c>
      <c r="R128" s="213" t="s">
        <v>995</v>
      </c>
      <c r="S128" s="213">
        <f>S127-2</f>
        <v>85</v>
      </c>
      <c r="T128" s="213" t="s">
        <v>5389</v>
      </c>
      <c r="U128" s="213">
        <v>7092.5</v>
      </c>
      <c r="V128" s="99">
        <f t="shared" si="45"/>
        <v>7662.7758630136987</v>
      </c>
      <c r="W128" s="32">
        <f t="shared" si="46"/>
        <v>7816.0313802739729</v>
      </c>
      <c r="X128" s="32">
        <f t="shared" si="47"/>
        <v>7969.2868975342471</v>
      </c>
      <c r="AH128" s="89">
        <v>108</v>
      </c>
      <c r="AI128" s="90" t="s">
        <v>4612</v>
      </c>
      <c r="AJ128" s="90">
        <v>39327293</v>
      </c>
      <c r="AK128" s="89">
        <v>4</v>
      </c>
      <c r="AL128" s="149">
        <f t="shared" si="48"/>
        <v>390</v>
      </c>
      <c r="AM128" s="188">
        <f t="shared" si="44"/>
        <v>15337644270</v>
      </c>
      <c r="AN128" s="89" t="s">
        <v>4621</v>
      </c>
    </row>
    <row r="129" spans="7:43">
      <c r="G129" s="213"/>
      <c r="H129" s="213"/>
      <c r="I129" s="113">
        <f>J129-J126</f>
        <v>55616433.5</v>
      </c>
      <c r="J129" s="1">
        <f>SUM(J127:J128)</f>
        <v>71935576.5</v>
      </c>
      <c r="Q129" s="169">
        <v>5397012</v>
      </c>
      <c r="R129" s="213" t="s">
        <v>5390</v>
      </c>
      <c r="S129" s="213">
        <f>S128-1</f>
        <v>84</v>
      </c>
      <c r="T129" s="213" t="s">
        <v>5406</v>
      </c>
      <c r="U129" s="213">
        <v>6923.5</v>
      </c>
      <c r="V129" s="99">
        <f t="shared" si="45"/>
        <v>7474.8761589041105</v>
      </c>
      <c r="W129" s="32">
        <f t="shared" si="46"/>
        <v>7624.3736820821932</v>
      </c>
      <c r="X129" s="32">
        <f t="shared" si="47"/>
        <v>7773.871205260275</v>
      </c>
      <c r="Y129" t="s">
        <v>25</v>
      </c>
      <c r="Z129" t="s">
        <v>25</v>
      </c>
      <c r="AH129" s="89">
        <v>109</v>
      </c>
      <c r="AI129" s="90" t="s">
        <v>4635</v>
      </c>
      <c r="AJ129" s="90">
        <v>8749050</v>
      </c>
      <c r="AK129" s="89">
        <v>1</v>
      </c>
      <c r="AL129" s="89">
        <f t="shared" si="48"/>
        <v>386</v>
      </c>
      <c r="AM129" s="90">
        <f t="shared" si="44"/>
        <v>3377133300</v>
      </c>
      <c r="AN129" s="89" t="s">
        <v>4636</v>
      </c>
    </row>
    <row r="130" spans="7:43">
      <c r="G130" s="213"/>
      <c r="H130" s="213"/>
      <c r="I130" s="213" t="s">
        <v>914</v>
      </c>
      <c r="J130" s="213" t="s">
        <v>6</v>
      </c>
      <c r="Q130" s="169">
        <v>6908862</v>
      </c>
      <c r="R130" s="213" t="s">
        <v>5404</v>
      </c>
      <c r="S130" s="213">
        <f>S129-11</f>
        <v>73</v>
      </c>
      <c r="T130" s="213" t="s">
        <v>5414</v>
      </c>
      <c r="U130" s="213">
        <v>7301.1</v>
      </c>
      <c r="V130" s="99">
        <f t="shared" si="45"/>
        <v>7820.9383200000011</v>
      </c>
      <c r="W130" s="32">
        <f t="shared" ref="W130:W132" si="49">V130*(1+$W$19/100)</f>
        <v>7977.3570864000012</v>
      </c>
      <c r="X130" s="32">
        <f t="shared" ref="X130:X132" si="50">V130*(1+$X$19/100)</f>
        <v>8133.7758528000013</v>
      </c>
      <c r="Z130" t="s">
        <v>25</v>
      </c>
      <c r="AH130" s="99">
        <v>110</v>
      </c>
      <c r="AI130" s="113" t="s">
        <v>4637</v>
      </c>
      <c r="AJ130" s="113">
        <v>60000</v>
      </c>
      <c r="AK130" s="99">
        <v>1</v>
      </c>
      <c r="AL130" s="99">
        <f t="shared" si="48"/>
        <v>385</v>
      </c>
      <c r="AM130" s="117">
        <f t="shared" si="44"/>
        <v>23100000</v>
      </c>
      <c r="AN130" s="99" t="s">
        <v>4638</v>
      </c>
    </row>
    <row r="131" spans="7:43">
      <c r="G131" s="41"/>
      <c r="H131" s="41"/>
      <c r="I131" s="41"/>
      <c r="J131" s="41"/>
      <c r="Q131" s="169">
        <v>36895962</v>
      </c>
      <c r="R131" s="213" t="s">
        <v>5415</v>
      </c>
      <c r="S131" s="213">
        <f>S130-1</f>
        <v>72</v>
      </c>
      <c r="T131" s="213" t="s">
        <v>5420</v>
      </c>
      <c r="U131" s="213">
        <v>7372.4</v>
      </c>
      <c r="V131" s="99">
        <f t="shared" si="45"/>
        <v>7891.6593402739727</v>
      </c>
      <c r="W131" s="32">
        <f t="shared" si="49"/>
        <v>8049.492527079452</v>
      </c>
      <c r="X131" s="32">
        <f t="shared" si="50"/>
        <v>8207.3257138849312</v>
      </c>
      <c r="Y131" t="s">
        <v>25</v>
      </c>
      <c r="AH131" s="20">
        <v>111</v>
      </c>
      <c r="AI131" s="117" t="s">
        <v>4646</v>
      </c>
      <c r="AJ131" s="117">
        <v>4750000</v>
      </c>
      <c r="AK131" s="20">
        <v>0</v>
      </c>
      <c r="AL131" s="99">
        <f t="shared" si="48"/>
        <v>384</v>
      </c>
      <c r="AM131" s="117">
        <f t="shared" si="44"/>
        <v>1824000000</v>
      </c>
      <c r="AN131" s="20"/>
      <c r="AQ131" t="s">
        <v>25</v>
      </c>
    </row>
    <row r="132" spans="7:43">
      <c r="G132" s="213"/>
      <c r="H132" s="213" t="s">
        <v>5263</v>
      </c>
      <c r="I132" s="213" t="s">
        <v>5167</v>
      </c>
      <c r="J132" s="1">
        <v>19795000</v>
      </c>
      <c r="Q132" s="169">
        <v>25972060</v>
      </c>
      <c r="R132" s="213" t="s">
        <v>5429</v>
      </c>
      <c r="S132" s="213">
        <f>S131-3</f>
        <v>69</v>
      </c>
      <c r="T132" s="213" t="s">
        <v>5529</v>
      </c>
      <c r="U132" s="213">
        <v>7557.6</v>
      </c>
      <c r="V132" s="99">
        <f t="shared" si="45"/>
        <v>8072.5106761643847</v>
      </c>
      <c r="W132" s="32">
        <f t="shared" si="49"/>
        <v>8233.9608896876725</v>
      </c>
      <c r="X132" s="32">
        <f t="shared" si="50"/>
        <v>8395.4111032109595</v>
      </c>
      <c r="Y132" t="s">
        <v>25</v>
      </c>
      <c r="AH132" s="89">
        <v>112</v>
      </c>
      <c r="AI132" s="90" t="s">
        <v>4646</v>
      </c>
      <c r="AJ132" s="90">
        <v>13101160</v>
      </c>
      <c r="AK132" s="89">
        <v>1</v>
      </c>
      <c r="AL132" s="89">
        <f t="shared" si="48"/>
        <v>384</v>
      </c>
      <c r="AM132" s="90">
        <f t="shared" si="44"/>
        <v>5030845440</v>
      </c>
      <c r="AN132" s="89" t="s">
        <v>4649</v>
      </c>
    </row>
    <row r="133" spans="7:43">
      <c r="G133" s="1">
        <f>P48</f>
        <v>1048.7</v>
      </c>
      <c r="H133" s="213" t="s">
        <v>4233</v>
      </c>
      <c r="I133" s="213">
        <v>46582</v>
      </c>
      <c r="J133" s="1">
        <f>G133*I133</f>
        <v>48850543.399999999</v>
      </c>
      <c r="K133" t="s">
        <v>25</v>
      </c>
      <c r="Q133" s="169">
        <v>29717771</v>
      </c>
      <c r="R133" s="213" t="s">
        <v>5530</v>
      </c>
      <c r="S133" s="213">
        <f>S132-40</f>
        <v>29</v>
      </c>
      <c r="T133" s="213" t="s">
        <v>5532</v>
      </c>
      <c r="U133" s="213">
        <v>7159.6</v>
      </c>
      <c r="V133" s="99">
        <f t="shared" si="45"/>
        <v>7427.702500821918</v>
      </c>
      <c r="W133" s="32">
        <f t="shared" ref="W133:W135" si="51">V133*(1+$W$19/100)</f>
        <v>7576.2565508383568</v>
      </c>
      <c r="X133" s="32">
        <f t="shared" ref="X133:X135" si="52">V133*(1+$X$19/100)</f>
        <v>7724.8106008547948</v>
      </c>
      <c r="AH133" s="20">
        <v>113</v>
      </c>
      <c r="AI133" s="117" t="s">
        <v>4648</v>
      </c>
      <c r="AJ133" s="117">
        <v>-980000</v>
      </c>
      <c r="AK133" s="20">
        <v>0</v>
      </c>
      <c r="AL133" s="99">
        <f t="shared" si="48"/>
        <v>383</v>
      </c>
      <c r="AM133" s="117">
        <f t="shared" si="44"/>
        <v>-375340000</v>
      </c>
      <c r="AN133" s="20"/>
    </row>
    <row r="134" spans="7:43">
      <c r="G134" s="213"/>
      <c r="H134" s="213" t="s">
        <v>338</v>
      </c>
      <c r="I134" s="213"/>
      <c r="J134" s="1">
        <v>10000000</v>
      </c>
      <c r="Q134" s="169">
        <v>7374741</v>
      </c>
      <c r="R134" s="213" t="s">
        <v>5538</v>
      </c>
      <c r="S134" s="213">
        <f>S133-8</f>
        <v>21</v>
      </c>
      <c r="T134" s="213" t="s">
        <v>5539</v>
      </c>
      <c r="U134" s="213">
        <v>7601</v>
      </c>
      <c r="V134" s="99">
        <f t="shared" si="45"/>
        <v>7838.9841863013698</v>
      </c>
      <c r="W134" s="32">
        <f t="shared" si="51"/>
        <v>7995.7638700273974</v>
      </c>
      <c r="X134" s="32">
        <f t="shared" si="52"/>
        <v>8152.5435537534249</v>
      </c>
      <c r="Y134" t="s">
        <v>25</v>
      </c>
      <c r="AH134" s="89">
        <v>114</v>
      </c>
      <c r="AI134" s="90" t="s">
        <v>4648</v>
      </c>
      <c r="AJ134" s="90">
        <v>13301790</v>
      </c>
      <c r="AK134" s="89">
        <v>0</v>
      </c>
      <c r="AL134" s="89">
        <f t="shared" si="48"/>
        <v>383</v>
      </c>
      <c r="AM134" s="90">
        <f t="shared" si="44"/>
        <v>5094585570</v>
      </c>
      <c r="AN134" s="89" t="s">
        <v>4649</v>
      </c>
      <c r="AQ134" t="s">
        <v>25</v>
      </c>
    </row>
    <row r="135" spans="7:43">
      <c r="G135" s="213"/>
      <c r="H135" s="213"/>
      <c r="I135" s="1">
        <f>J135-J132</f>
        <v>39055543.399999999</v>
      </c>
      <c r="J135" s="1">
        <f>SUM(J133:J134)</f>
        <v>58850543.399999999</v>
      </c>
      <c r="K135" t="s">
        <v>25</v>
      </c>
      <c r="P135" t="s">
        <v>25</v>
      </c>
      <c r="Q135" s="169">
        <v>2612032</v>
      </c>
      <c r="R135" s="213" t="s">
        <v>5543</v>
      </c>
      <c r="S135" s="213">
        <f>S134-4</f>
        <v>17</v>
      </c>
      <c r="T135" s="213" t="s">
        <v>5544</v>
      </c>
      <c r="U135" s="213">
        <v>8000.7</v>
      </c>
      <c r="V135" s="99">
        <f t="shared" si="45"/>
        <v>8226.6485358904119</v>
      </c>
      <c r="W135" s="32">
        <f t="shared" si="51"/>
        <v>8391.1815066082199</v>
      </c>
      <c r="X135" s="32">
        <f t="shared" si="52"/>
        <v>8555.7144773260279</v>
      </c>
      <c r="AH135" s="20">
        <v>115</v>
      </c>
      <c r="AI135" s="117" t="s">
        <v>4648</v>
      </c>
      <c r="AJ135" s="117">
        <v>404000</v>
      </c>
      <c r="AK135" s="20">
        <v>5</v>
      </c>
      <c r="AL135" s="99">
        <f t="shared" si="48"/>
        <v>383</v>
      </c>
      <c r="AM135" s="117">
        <f t="shared" si="44"/>
        <v>154732000</v>
      </c>
      <c r="AN135" s="20" t="s">
        <v>4655</v>
      </c>
    </row>
    <row r="136" spans="7:43">
      <c r="G136" s="213"/>
      <c r="H136" s="213"/>
      <c r="I136" s="213" t="s">
        <v>914</v>
      </c>
      <c r="J136" s="213" t="s">
        <v>6</v>
      </c>
      <c r="O136" s="96"/>
      <c r="Q136" s="169">
        <v>6180139</v>
      </c>
      <c r="R136" s="213" t="s">
        <v>5547</v>
      </c>
      <c r="S136" s="213">
        <f>S135-2</f>
        <v>15</v>
      </c>
      <c r="T136" s="213" t="s">
        <v>5550</v>
      </c>
      <c r="U136" s="213">
        <v>8485.7999999999993</v>
      </c>
      <c r="V136" s="99">
        <f t="shared" si="45"/>
        <v>8712.4289819178084</v>
      </c>
      <c r="W136" s="32">
        <f t="shared" ref="W136:W146" si="53">V136*(1+$W$19/100)</f>
        <v>8886.6775615561655</v>
      </c>
      <c r="X136" s="32">
        <f t="shared" ref="X136:X146" si="54">V136*(1+$X$19/100)</f>
        <v>9060.9261411945208</v>
      </c>
      <c r="Y136" t="s">
        <v>25</v>
      </c>
      <c r="AH136" s="89">
        <v>116</v>
      </c>
      <c r="AI136" s="90" t="s">
        <v>4665</v>
      </c>
      <c r="AJ136" s="90">
        <v>4291628</v>
      </c>
      <c r="AK136" s="89">
        <v>2</v>
      </c>
      <c r="AL136" s="89">
        <f t="shared" si="48"/>
        <v>378</v>
      </c>
      <c r="AM136" s="90">
        <f t="shared" si="44"/>
        <v>1622235384</v>
      </c>
      <c r="AN136" s="89" t="s">
        <v>4666</v>
      </c>
    </row>
    <row r="137" spans="7:43">
      <c r="G137" s="181"/>
      <c r="H137" s="181"/>
      <c r="I137" s="181"/>
      <c r="J137" s="181"/>
      <c r="Q137" s="169">
        <v>17185077</v>
      </c>
      <c r="R137" s="213" t="s">
        <v>5548</v>
      </c>
      <c r="S137" s="213">
        <f>S136-1</f>
        <v>14</v>
      </c>
      <c r="T137" s="213" t="s">
        <v>5559</v>
      </c>
      <c r="U137" s="213">
        <v>8377.7999999999993</v>
      </c>
      <c r="V137" s="99">
        <f t="shared" si="45"/>
        <v>8595.1178367123302</v>
      </c>
      <c r="W137" s="32">
        <f t="shared" si="53"/>
        <v>8767.0201934465767</v>
      </c>
      <c r="X137" s="32">
        <f t="shared" si="54"/>
        <v>8938.9225501808232</v>
      </c>
      <c r="Z137" t="s">
        <v>25</v>
      </c>
      <c r="AH137" s="20">
        <v>117</v>
      </c>
      <c r="AI137" s="117" t="s">
        <v>4668</v>
      </c>
      <c r="AJ137" s="117">
        <v>1000</v>
      </c>
      <c r="AK137" s="20">
        <v>5</v>
      </c>
      <c r="AL137" s="20">
        <f t="shared" si="48"/>
        <v>376</v>
      </c>
      <c r="AM137" s="117">
        <f t="shared" si="44"/>
        <v>376000</v>
      </c>
      <c r="AN137" s="20"/>
    </row>
    <row r="138" spans="7:43">
      <c r="G138" s="213"/>
      <c r="H138" s="213" t="s">
        <v>5486</v>
      </c>
      <c r="I138" s="213" t="s">
        <v>5492</v>
      </c>
      <c r="J138" s="1">
        <v>100000000</v>
      </c>
      <c r="K138" t="s">
        <v>25</v>
      </c>
      <c r="Q138" s="169">
        <v>83684098</v>
      </c>
      <c r="R138" s="213" t="s">
        <v>5552</v>
      </c>
      <c r="S138" s="213">
        <f>S137-1</f>
        <v>13</v>
      </c>
      <c r="T138" s="213" t="s">
        <v>5560</v>
      </c>
      <c r="U138" s="213">
        <v>8337.2999999999993</v>
      </c>
      <c r="V138" s="99">
        <f t="shared" si="45"/>
        <v>8547.171540821917</v>
      </c>
      <c r="W138" s="32">
        <f t="shared" si="53"/>
        <v>8718.1149716383552</v>
      </c>
      <c r="X138" s="32">
        <f t="shared" si="54"/>
        <v>8889.0584024547934</v>
      </c>
      <c r="Y138" t="s">
        <v>25</v>
      </c>
      <c r="AH138" s="121">
        <v>118</v>
      </c>
      <c r="AI138" s="79" t="s">
        <v>4676</v>
      </c>
      <c r="AJ138" s="79">
        <v>8739459</v>
      </c>
      <c r="AK138" s="121">
        <v>2</v>
      </c>
      <c r="AL138" s="121">
        <f t="shared" si="48"/>
        <v>371</v>
      </c>
      <c r="AM138" s="79">
        <f t="shared" si="44"/>
        <v>3242339289</v>
      </c>
      <c r="AN138" s="121" t="s">
        <v>4636</v>
      </c>
    </row>
    <row r="139" spans="7:43">
      <c r="G139" s="1">
        <f>P48</f>
        <v>1048.7</v>
      </c>
      <c r="H139" s="213" t="s">
        <v>4233</v>
      </c>
      <c r="I139" s="213">
        <v>180008</v>
      </c>
      <c r="J139" s="1">
        <f>G139*I139</f>
        <v>188774389.59999999</v>
      </c>
      <c r="P139" t="s">
        <v>25</v>
      </c>
      <c r="Q139" s="169">
        <v>3001502</v>
      </c>
      <c r="R139" s="213" t="s">
        <v>5552</v>
      </c>
      <c r="S139" s="213">
        <f>S138</f>
        <v>13</v>
      </c>
      <c r="T139" s="213" t="s">
        <v>5557</v>
      </c>
      <c r="U139" s="213">
        <v>860</v>
      </c>
      <c r="V139" s="99">
        <f t="shared" si="45"/>
        <v>881.64843835616443</v>
      </c>
      <c r="W139" s="32">
        <f t="shared" si="53"/>
        <v>899.28140712328775</v>
      </c>
      <c r="X139" s="32">
        <f t="shared" si="54"/>
        <v>916.91437589041107</v>
      </c>
      <c r="AH139" s="121">
        <v>119</v>
      </c>
      <c r="AI139" s="79" t="s">
        <v>4677</v>
      </c>
      <c r="AJ139" s="79">
        <v>17595278</v>
      </c>
      <c r="AK139" s="121">
        <v>1</v>
      </c>
      <c r="AL139" s="121">
        <f t="shared" si="48"/>
        <v>369</v>
      </c>
      <c r="AM139" s="79">
        <f t="shared" si="44"/>
        <v>6492657582</v>
      </c>
      <c r="AN139" s="121" t="s">
        <v>4679</v>
      </c>
      <c r="AQ139" t="s">
        <v>25</v>
      </c>
    </row>
    <row r="140" spans="7:43">
      <c r="G140" s="1">
        <f>P46</f>
        <v>12290.6</v>
      </c>
      <c r="H140" s="213" t="s">
        <v>4383</v>
      </c>
      <c r="I140" s="213">
        <v>645</v>
      </c>
      <c r="J140" s="1">
        <f>G140*I140</f>
        <v>7927437</v>
      </c>
      <c r="Q140" s="169">
        <v>36451986</v>
      </c>
      <c r="R140" s="213" t="s">
        <v>5566</v>
      </c>
      <c r="S140" s="213">
        <f>S139-3</f>
        <v>10</v>
      </c>
      <c r="T140" s="213" t="s">
        <v>5567</v>
      </c>
      <c r="U140" s="213">
        <v>8280.2000000000007</v>
      </c>
      <c r="V140" s="99">
        <f t="shared" si="45"/>
        <v>8469.5783824657556</v>
      </c>
      <c r="W140" s="32">
        <f t="shared" si="53"/>
        <v>8638.9699501150717</v>
      </c>
      <c r="X140" s="32">
        <f t="shared" si="54"/>
        <v>8808.361517764386</v>
      </c>
      <c r="Z140" t="s">
        <v>25</v>
      </c>
      <c r="AH140" s="121">
        <v>120</v>
      </c>
      <c r="AI140" s="79" t="s">
        <v>4678</v>
      </c>
      <c r="AJ140" s="79">
        <v>13335309</v>
      </c>
      <c r="AK140" s="121">
        <v>13</v>
      </c>
      <c r="AL140" s="121">
        <f t="shared" si="48"/>
        <v>368</v>
      </c>
      <c r="AM140" s="79">
        <f t="shared" si="44"/>
        <v>4907393712</v>
      </c>
      <c r="AN140" s="121" t="s">
        <v>4649</v>
      </c>
    </row>
    <row r="141" spans="7:43">
      <c r="G141" s="213">
        <v>1</v>
      </c>
      <c r="H141" s="213" t="s">
        <v>751</v>
      </c>
      <c r="I141" s="213">
        <v>-16050</v>
      </c>
      <c r="J141" s="1">
        <f>G141*I141</f>
        <v>-16050</v>
      </c>
      <c r="Q141" s="169">
        <v>51910020</v>
      </c>
      <c r="R141" s="213" t="s">
        <v>5566</v>
      </c>
      <c r="S141" s="213">
        <f>S140</f>
        <v>10</v>
      </c>
      <c r="T141" s="213" t="s">
        <v>5568</v>
      </c>
      <c r="U141" s="213">
        <v>8758.5</v>
      </c>
      <c r="V141" s="99">
        <f t="shared" si="45"/>
        <v>8958.817693150686</v>
      </c>
      <c r="W141" s="32">
        <f t="shared" si="53"/>
        <v>9137.9940470136989</v>
      </c>
      <c r="X141" s="32">
        <f t="shared" si="54"/>
        <v>9317.1704008767138</v>
      </c>
      <c r="Y141" t="s">
        <v>25</v>
      </c>
      <c r="AA141" t="s">
        <v>25</v>
      </c>
      <c r="AH141" s="161">
        <v>121</v>
      </c>
      <c r="AI141" s="228" t="s">
        <v>4729</v>
      </c>
      <c r="AJ141" s="228">
        <v>50000000</v>
      </c>
      <c r="AK141" s="161">
        <v>11</v>
      </c>
      <c r="AL141" s="161">
        <f t="shared" si="48"/>
        <v>355</v>
      </c>
      <c r="AM141" s="228">
        <f t="shared" si="44"/>
        <v>17750000000</v>
      </c>
      <c r="AN141" s="161" t="s">
        <v>4731</v>
      </c>
      <c r="AP141" t="s">
        <v>25</v>
      </c>
    </row>
    <row r="142" spans="7:43">
      <c r="G142" s="213"/>
      <c r="H142" s="213"/>
      <c r="I142" s="213"/>
      <c r="J142" s="1"/>
      <c r="Q142" s="169">
        <v>17151614</v>
      </c>
      <c r="R142" s="213" t="s">
        <v>5571</v>
      </c>
      <c r="S142" s="213">
        <f>S141-1</f>
        <v>9</v>
      </c>
      <c r="T142" s="213" t="s">
        <v>5572</v>
      </c>
      <c r="U142" s="213">
        <v>8536.2000000000007</v>
      </c>
      <c r="V142" s="99">
        <f t="shared" si="45"/>
        <v>8724.8851002739757</v>
      </c>
      <c r="W142" s="32">
        <f t="shared" si="53"/>
        <v>8899.3828022794551</v>
      </c>
      <c r="X142" s="32">
        <f t="shared" si="54"/>
        <v>9073.8805042849344</v>
      </c>
      <c r="Y142" t="s">
        <v>25</v>
      </c>
      <c r="AH142" s="20">
        <v>122</v>
      </c>
      <c r="AI142" s="117" t="s">
        <v>971</v>
      </c>
      <c r="AJ142" s="117">
        <v>30000</v>
      </c>
      <c r="AK142" s="20">
        <v>3</v>
      </c>
      <c r="AL142" s="20">
        <f t="shared" si="48"/>
        <v>344</v>
      </c>
      <c r="AM142" s="117">
        <f t="shared" si="44"/>
        <v>10320000</v>
      </c>
      <c r="AN142" s="20"/>
    </row>
    <row r="143" spans="7:43">
      <c r="G143" s="213"/>
      <c r="H143" s="213"/>
      <c r="I143" s="213"/>
      <c r="J143" s="1"/>
      <c r="K143" s="96"/>
      <c r="L143" s="96"/>
      <c r="M143" t="s">
        <v>25</v>
      </c>
      <c r="P143" s="114"/>
      <c r="Q143" s="169">
        <v>80899897</v>
      </c>
      <c r="R143" s="213" t="s">
        <v>5571</v>
      </c>
      <c r="S143" s="213">
        <f>S142</f>
        <v>9</v>
      </c>
      <c r="T143" s="213" t="s">
        <v>5573</v>
      </c>
      <c r="U143" s="213">
        <v>9036.6</v>
      </c>
      <c r="V143" s="99">
        <f t="shared" si="45"/>
        <v>9236.3459967123308</v>
      </c>
      <c r="W143" s="32">
        <f t="shared" si="53"/>
        <v>9421.0729166465771</v>
      </c>
      <c r="X143" s="32">
        <f t="shared" si="54"/>
        <v>9605.7998365808253</v>
      </c>
      <c r="Y143" t="s">
        <v>25</v>
      </c>
      <c r="AH143" s="20">
        <v>123</v>
      </c>
      <c r="AI143" s="117" t="s">
        <v>4791</v>
      </c>
      <c r="AJ143" s="117">
        <v>600000</v>
      </c>
      <c r="AK143" s="20">
        <v>1</v>
      </c>
      <c r="AL143" s="20">
        <f t="shared" si="48"/>
        <v>341</v>
      </c>
      <c r="AM143" s="117">
        <f t="shared" si="44"/>
        <v>204600000</v>
      </c>
      <c r="AN143" s="20"/>
    </row>
    <row r="144" spans="7:43">
      <c r="G144" s="213"/>
      <c r="H144" s="213"/>
      <c r="I144" s="1">
        <f>J144-J138</f>
        <v>96685776.599999994</v>
      </c>
      <c r="J144" s="1">
        <f>SUM(J139:J141)</f>
        <v>196685776.59999999</v>
      </c>
      <c r="Q144" s="169">
        <v>23272546</v>
      </c>
      <c r="R144" s="213" t="s">
        <v>5576</v>
      </c>
      <c r="S144" s="213">
        <f>S143-1</f>
        <v>8</v>
      </c>
      <c r="T144" s="213" t="s">
        <v>5577</v>
      </c>
      <c r="U144" s="213">
        <v>8938</v>
      </c>
      <c r="V144" s="99">
        <f t="shared" si="45"/>
        <v>9128.7099835616445</v>
      </c>
      <c r="W144" s="32">
        <f t="shared" si="53"/>
        <v>9311.2841832328777</v>
      </c>
      <c r="X144" s="32">
        <f t="shared" si="54"/>
        <v>9493.8583829041108</v>
      </c>
      <c r="Y144" t="s">
        <v>25</v>
      </c>
      <c r="AH144" s="20">
        <v>124</v>
      </c>
      <c r="AI144" s="117" t="s">
        <v>4794</v>
      </c>
      <c r="AJ144" s="117">
        <v>30000</v>
      </c>
      <c r="AK144" s="20">
        <v>3</v>
      </c>
      <c r="AL144" s="20">
        <f t="shared" si="48"/>
        <v>340</v>
      </c>
      <c r="AM144" s="117">
        <f t="shared" si="44"/>
        <v>10200000</v>
      </c>
      <c r="AN144" s="20"/>
    </row>
    <row r="145" spans="5:44">
      <c r="G145" s="213"/>
      <c r="H145" s="213"/>
      <c r="I145" s="213" t="s">
        <v>914</v>
      </c>
      <c r="J145" s="213" t="s">
        <v>6</v>
      </c>
      <c r="K145" s="96"/>
      <c r="L145" s="96"/>
      <c r="Q145" s="169">
        <v>70181612</v>
      </c>
      <c r="R145" s="213" t="s">
        <v>5576</v>
      </c>
      <c r="S145" s="213">
        <f>S144</f>
        <v>8</v>
      </c>
      <c r="T145" s="213" t="s">
        <v>5578</v>
      </c>
      <c r="U145" s="213">
        <v>8497.4</v>
      </c>
      <c r="V145" s="99">
        <f t="shared" si="45"/>
        <v>8678.7089073972602</v>
      </c>
      <c r="W145" s="32">
        <f t="shared" si="53"/>
        <v>8852.2830855452048</v>
      </c>
      <c r="X145" s="32">
        <f t="shared" si="54"/>
        <v>9025.8572636931513</v>
      </c>
      <c r="Y145" s="122" t="s">
        <v>25</v>
      </c>
      <c r="AH145" s="20">
        <v>125</v>
      </c>
      <c r="AI145" s="117" t="s">
        <v>4800</v>
      </c>
      <c r="AJ145" s="117">
        <v>2250000</v>
      </c>
      <c r="AK145" s="20">
        <v>1</v>
      </c>
      <c r="AL145" s="20">
        <f t="shared" si="48"/>
        <v>337</v>
      </c>
      <c r="AM145" s="117">
        <f t="shared" ref="AM145:AM147" si="55">AJ145*AL145</f>
        <v>758250000</v>
      </c>
      <c r="AN145" s="20"/>
      <c r="AR145" t="s">
        <v>25</v>
      </c>
    </row>
    <row r="146" spans="5:44">
      <c r="G146" s="181"/>
      <c r="H146" s="181"/>
      <c r="I146" s="181"/>
      <c r="J146" s="181"/>
      <c r="K146" t="s">
        <v>25</v>
      </c>
      <c r="Q146" s="169">
        <v>7775139</v>
      </c>
      <c r="R146" s="213" t="s">
        <v>5581</v>
      </c>
      <c r="S146" s="213">
        <f>S145-1</f>
        <v>7</v>
      </c>
      <c r="T146" s="213" t="s">
        <v>5582</v>
      </c>
      <c r="U146" s="213">
        <v>9000</v>
      </c>
      <c r="V146" s="99">
        <f t="shared" si="45"/>
        <v>9185.1287671232894</v>
      </c>
      <c r="W146" s="32">
        <f t="shared" si="53"/>
        <v>9368.8313424657554</v>
      </c>
      <c r="X146" s="32">
        <f t="shared" si="54"/>
        <v>9552.5339178082213</v>
      </c>
      <c r="AH146" s="23">
        <v>126</v>
      </c>
      <c r="AI146" s="35" t="s">
        <v>4805</v>
      </c>
      <c r="AJ146" s="35">
        <v>-31412200</v>
      </c>
      <c r="AK146" s="23">
        <v>1</v>
      </c>
      <c r="AL146" s="20">
        <f t="shared" si="48"/>
        <v>336</v>
      </c>
      <c r="AM146" s="35">
        <f t="shared" si="55"/>
        <v>-10554499200</v>
      </c>
      <c r="AN146" s="23" t="s">
        <v>4793</v>
      </c>
    </row>
    <row r="147" spans="5:44">
      <c r="Q147" s="169">
        <v>9243589</v>
      </c>
      <c r="R147" s="213" t="s">
        <v>5593</v>
      </c>
      <c r="S147" s="213">
        <f>S146-5</f>
        <v>2</v>
      </c>
      <c r="T147" s="213" t="s">
        <v>5597</v>
      </c>
      <c r="U147" s="213">
        <v>9544.5</v>
      </c>
      <c r="V147" s="99">
        <f t="shared" si="45"/>
        <v>9704.2200164383576</v>
      </c>
      <c r="W147" s="32">
        <f t="shared" ref="W147:W153" si="56">V147*(1+$W$19/100)</f>
        <v>9898.3044167671251</v>
      </c>
      <c r="X147" s="32">
        <f t="shared" ref="X147:X153" si="57">V147*(1+$X$19/100)</f>
        <v>10092.388817095893</v>
      </c>
      <c r="Z147" s="96"/>
      <c r="AH147" s="20">
        <v>127</v>
      </c>
      <c r="AI147" s="117" t="s">
        <v>4814</v>
      </c>
      <c r="AJ147" s="117">
        <v>70000</v>
      </c>
      <c r="AK147" s="20">
        <v>9</v>
      </c>
      <c r="AL147" s="20">
        <f t="shared" si="48"/>
        <v>335</v>
      </c>
      <c r="AM147" s="117">
        <f t="shared" si="55"/>
        <v>23450000</v>
      </c>
      <c r="AN147" s="20"/>
    </row>
    <row r="148" spans="5:44">
      <c r="G148" s="99"/>
      <c r="H148" s="99"/>
      <c r="I148" s="99" t="s">
        <v>5369</v>
      </c>
      <c r="J148" s="1">
        <v>20000000</v>
      </c>
      <c r="K148" s="278"/>
      <c r="L148" s="291"/>
      <c r="Q148" s="169">
        <v>17698385</v>
      </c>
      <c r="R148" s="213" t="s">
        <v>5593</v>
      </c>
      <c r="S148" s="213">
        <f>S147</f>
        <v>2</v>
      </c>
      <c r="T148" s="213" t="s">
        <v>5595</v>
      </c>
      <c r="U148" s="213">
        <v>9713</v>
      </c>
      <c r="V148" s="99">
        <f t="shared" si="45"/>
        <v>9875.5397369863022</v>
      </c>
      <c r="W148" s="32">
        <f t="shared" si="56"/>
        <v>10073.050531726029</v>
      </c>
      <c r="X148" s="32">
        <f t="shared" si="57"/>
        <v>10270.561326465755</v>
      </c>
      <c r="Z148" s="96" t="s">
        <v>25</v>
      </c>
      <c r="AH148" s="99">
        <v>128</v>
      </c>
      <c r="AI148" s="113" t="s">
        <v>4821</v>
      </c>
      <c r="AJ148" s="113">
        <v>20000</v>
      </c>
      <c r="AK148" s="99">
        <v>10</v>
      </c>
      <c r="AL148" s="20">
        <f t="shared" si="48"/>
        <v>326</v>
      </c>
      <c r="AM148" s="117">
        <f t="shared" ref="AM148:AM149" si="58">AJ148*AL148</f>
        <v>6520000</v>
      </c>
      <c r="AN148" s="20"/>
      <c r="AP148" t="s">
        <v>25</v>
      </c>
    </row>
    <row r="149" spans="5:44">
      <c r="G149" s="99">
        <f>P48</f>
        <v>1048.7</v>
      </c>
      <c r="H149" s="99" t="s">
        <v>4233</v>
      </c>
      <c r="I149" s="99">
        <v>28777</v>
      </c>
      <c r="J149" s="1">
        <f>G149*I149</f>
        <v>30178439.900000002</v>
      </c>
      <c r="Q149" s="169">
        <v>11345584</v>
      </c>
      <c r="R149" s="213" t="s">
        <v>5596</v>
      </c>
      <c r="S149" s="213">
        <f>S148-2</f>
        <v>0</v>
      </c>
      <c r="T149" s="213" t="s">
        <v>5605</v>
      </c>
      <c r="U149" s="213">
        <v>10396.200000000001</v>
      </c>
      <c r="V149" s="99">
        <f t="shared" si="45"/>
        <v>10554.222240000001</v>
      </c>
      <c r="W149" s="32">
        <f t="shared" si="56"/>
        <v>10765.306684800002</v>
      </c>
      <c r="X149" s="32">
        <f t="shared" si="57"/>
        <v>10976.391129600001</v>
      </c>
      <c r="Z149" s="96"/>
      <c r="AH149" s="99">
        <v>129</v>
      </c>
      <c r="AI149" s="113" t="s">
        <v>4841</v>
      </c>
      <c r="AJ149" s="113">
        <v>1000000</v>
      </c>
      <c r="AK149" s="99">
        <v>1</v>
      </c>
      <c r="AL149" s="20">
        <f t="shared" si="48"/>
        <v>316</v>
      </c>
      <c r="AM149" s="117">
        <f t="shared" si="58"/>
        <v>316000000</v>
      </c>
      <c r="AN149" s="20"/>
    </row>
    <row r="150" spans="5:44">
      <c r="E150" s="123"/>
      <c r="G150" s="99">
        <f>P46</f>
        <v>12290.6</v>
      </c>
      <c r="H150" s="99" t="s">
        <v>4383</v>
      </c>
      <c r="I150" s="99">
        <v>1150</v>
      </c>
      <c r="J150" s="1">
        <f>G150*I150</f>
        <v>14134190</v>
      </c>
      <c r="K150" t="s">
        <v>25</v>
      </c>
      <c r="P150" t="s">
        <v>25</v>
      </c>
      <c r="Q150" s="169">
        <v>91082007</v>
      </c>
      <c r="R150" s="213" t="s">
        <v>5596</v>
      </c>
      <c r="S150" s="213">
        <f>S149</f>
        <v>0</v>
      </c>
      <c r="T150" s="213" t="s">
        <v>5607</v>
      </c>
      <c r="U150" s="213">
        <v>10640</v>
      </c>
      <c r="V150" s="99">
        <f t="shared" si="45"/>
        <v>10801.728000000001</v>
      </c>
      <c r="W150" s="32">
        <f t="shared" si="56"/>
        <v>11017.762560000001</v>
      </c>
      <c r="X150" s="32">
        <f t="shared" si="57"/>
        <v>11233.797120000001</v>
      </c>
      <c r="Y150" t="s">
        <v>25</v>
      </c>
      <c r="Z150" s="96"/>
      <c r="AA150" s="114"/>
      <c r="AC150" s="114"/>
      <c r="AD150" s="114"/>
      <c r="AH150" s="99">
        <v>130</v>
      </c>
      <c r="AI150" s="113" t="s">
        <v>4842</v>
      </c>
      <c r="AJ150" s="113">
        <v>65630227</v>
      </c>
      <c r="AK150" s="99">
        <v>0</v>
      </c>
      <c r="AL150" s="20">
        <f t="shared" si="48"/>
        <v>315</v>
      </c>
      <c r="AM150" s="117">
        <f t="shared" ref="AM150:AM177" si="59">AJ150*AL150</f>
        <v>20673521505</v>
      </c>
      <c r="AN150" s="20" t="s">
        <v>4845</v>
      </c>
      <c r="AP150" t="s">
        <v>25</v>
      </c>
      <c r="AR150" t="s">
        <v>25</v>
      </c>
    </row>
    <row r="151" spans="5:44">
      <c r="G151" s="99">
        <f>P43</f>
        <v>84500</v>
      </c>
      <c r="H151" s="99" t="s">
        <v>5352</v>
      </c>
      <c r="I151" s="99">
        <v>52</v>
      </c>
      <c r="J151" s="1">
        <f>G151*I151</f>
        <v>4394000</v>
      </c>
      <c r="P151" s="96"/>
      <c r="Q151" s="169"/>
      <c r="R151" s="213"/>
      <c r="S151" s="213"/>
      <c r="T151" s="213"/>
      <c r="U151" s="213"/>
      <c r="V151" s="99"/>
      <c r="W151" s="32"/>
      <c r="X151" s="32"/>
      <c r="Y151" t="s">
        <v>25</v>
      </c>
      <c r="Z151" s="96" t="s">
        <v>25</v>
      </c>
      <c r="AA151" s="114"/>
      <c r="AC151" s="114"/>
      <c r="AH151" s="99">
        <v>131</v>
      </c>
      <c r="AI151" s="113" t="s">
        <v>4842</v>
      </c>
      <c r="AJ151" s="113">
        <v>-3500000</v>
      </c>
      <c r="AK151" s="99">
        <v>6</v>
      </c>
      <c r="AL151" s="20">
        <f t="shared" si="48"/>
        <v>315</v>
      </c>
      <c r="AM151" s="117">
        <f t="shared" si="59"/>
        <v>-1102500000</v>
      </c>
      <c r="AN151" s="20" t="s">
        <v>4844</v>
      </c>
    </row>
    <row r="152" spans="5:44">
      <c r="G152" s="99"/>
      <c r="H152" s="99" t="s">
        <v>5354</v>
      </c>
      <c r="I152" s="99">
        <v>0</v>
      </c>
      <c r="J152" s="1">
        <f>I152</f>
        <v>0</v>
      </c>
      <c r="P152" s="96"/>
      <c r="Q152" s="169"/>
      <c r="R152" s="213"/>
      <c r="S152" s="213"/>
      <c r="T152" s="213"/>
      <c r="U152" s="213"/>
      <c r="V152" s="99"/>
      <c r="W152" s="32"/>
      <c r="X152" s="32"/>
      <c r="Y152" t="s">
        <v>25</v>
      </c>
      <c r="Z152" s="96"/>
      <c r="AA152" s="114"/>
      <c r="AC152" s="114"/>
      <c r="AD152" s="114"/>
      <c r="AH152" s="99">
        <v>132</v>
      </c>
      <c r="AI152" s="113" t="s">
        <v>4855</v>
      </c>
      <c r="AJ152" s="113">
        <v>2520000</v>
      </c>
      <c r="AK152" s="99">
        <v>12</v>
      </c>
      <c r="AL152" s="20">
        <f t="shared" si="48"/>
        <v>309</v>
      </c>
      <c r="AM152" s="117">
        <f t="shared" si="59"/>
        <v>778680000</v>
      </c>
      <c r="AN152" s="20"/>
    </row>
    <row r="153" spans="5:44">
      <c r="G153" s="99"/>
      <c r="H153" s="99"/>
      <c r="I153" s="271">
        <f>J149+J150+J151+J152-J148</f>
        <v>28706629.900000006</v>
      </c>
      <c r="J153" s="1"/>
      <c r="Q153" s="169"/>
      <c r="R153" s="168"/>
      <c r="S153" s="168"/>
      <c r="T153" s="168"/>
      <c r="U153" s="168"/>
      <c r="V153" s="99">
        <f>U153*(1+$R$86+$Q$15*S153/36500)</f>
        <v>0</v>
      </c>
      <c r="W153" s="32">
        <f t="shared" si="56"/>
        <v>0</v>
      </c>
      <c r="X153" s="32">
        <f t="shared" si="57"/>
        <v>0</v>
      </c>
      <c r="Y153" s="96" t="s">
        <v>25</v>
      </c>
      <c r="Z153" s="96"/>
      <c r="AH153" s="99">
        <v>133</v>
      </c>
      <c r="AI153" s="113" t="s">
        <v>4890</v>
      </c>
      <c r="AJ153" s="113">
        <v>1400000</v>
      </c>
      <c r="AK153" s="99">
        <v>4</v>
      </c>
      <c r="AL153" s="20">
        <f t="shared" si="48"/>
        <v>297</v>
      </c>
      <c r="AM153" s="117">
        <f t="shared" si="59"/>
        <v>415800000</v>
      </c>
      <c r="AN153" s="20"/>
    </row>
    <row r="154" spans="5:44">
      <c r="K154" t="s">
        <v>25</v>
      </c>
      <c r="Q154" s="113">
        <f>SUM(N42:N50)-SUM(Q90:Q153)</f>
        <v>2537553744.9000006</v>
      </c>
      <c r="R154" s="112"/>
      <c r="S154" s="112"/>
      <c r="T154" s="112"/>
      <c r="U154" s="168"/>
      <c r="V154" s="99" t="s">
        <v>25</v>
      </c>
      <c r="W154" s="32"/>
      <c r="X154" s="32"/>
      <c r="Y154" s="122" t="s">
        <v>25</v>
      </c>
      <c r="Z154" s="122" t="s">
        <v>25</v>
      </c>
      <c r="AH154" s="99">
        <v>134</v>
      </c>
      <c r="AI154" s="113" t="s">
        <v>4914</v>
      </c>
      <c r="AJ154" s="113">
        <v>1550000</v>
      </c>
      <c r="AK154" s="99">
        <v>2</v>
      </c>
      <c r="AL154" s="20">
        <f t="shared" si="48"/>
        <v>293</v>
      </c>
      <c r="AM154" s="117">
        <f t="shared" si="59"/>
        <v>454150000</v>
      </c>
      <c r="AN154" s="20"/>
    </row>
    <row r="155" spans="5:44">
      <c r="K155" t="s">
        <v>25</v>
      </c>
      <c r="Q155" s="26"/>
      <c r="R155" s="181"/>
      <c r="S155" s="181"/>
      <c r="T155" t="s">
        <v>25</v>
      </c>
      <c r="U155" s="96" t="s">
        <v>25</v>
      </c>
      <c r="V155" s="96" t="s">
        <v>25</v>
      </c>
      <c r="W155" s="96" t="s">
        <v>25</v>
      </c>
      <c r="Y155" s="122" t="s">
        <v>25</v>
      </c>
      <c r="Z155" s="96" t="s">
        <v>25</v>
      </c>
      <c r="AH155" s="99">
        <v>135</v>
      </c>
      <c r="AI155" s="113" t="s">
        <v>4862</v>
      </c>
      <c r="AJ155" s="113">
        <v>250000</v>
      </c>
      <c r="AK155" s="99">
        <v>6</v>
      </c>
      <c r="AL155" s="20">
        <f t="shared" si="48"/>
        <v>291</v>
      </c>
      <c r="AM155" s="117">
        <f t="shared" si="59"/>
        <v>72750000</v>
      </c>
      <c r="AN155" s="20"/>
    </row>
    <row r="156" spans="5:44">
      <c r="I156">
        <f>39042-I149</f>
        <v>10265</v>
      </c>
      <c r="J156" s="114">
        <f>I156*$G$149</f>
        <v>10764905.5</v>
      </c>
      <c r="P156" s="114"/>
      <c r="R156" s="32" t="s">
        <v>4555</v>
      </c>
      <c r="S156" s="32" t="s">
        <v>947</v>
      </c>
      <c r="T156" t="s">
        <v>25</v>
      </c>
      <c r="U156" s="96" t="s">
        <v>25</v>
      </c>
      <c r="V156" s="96" t="s">
        <v>25</v>
      </c>
      <c r="W156" s="96" t="s">
        <v>25</v>
      </c>
      <c r="X156" s="122" t="s">
        <v>25</v>
      </c>
      <c r="Y156" s="122" t="s">
        <v>25</v>
      </c>
      <c r="Z156" s="96"/>
      <c r="AH156" s="99">
        <v>136</v>
      </c>
      <c r="AI156" s="113" t="s">
        <v>4924</v>
      </c>
      <c r="AJ156" s="113">
        <v>-48527480</v>
      </c>
      <c r="AK156" s="99">
        <v>14</v>
      </c>
      <c r="AL156" s="20">
        <f t="shared" si="48"/>
        <v>285</v>
      </c>
      <c r="AM156" s="117">
        <f t="shared" si="59"/>
        <v>-13830331800</v>
      </c>
      <c r="AN156" s="20" t="s">
        <v>4926</v>
      </c>
    </row>
    <row r="157" spans="5:44">
      <c r="I157">
        <v>10107.271699999999</v>
      </c>
      <c r="J157" s="114">
        <f>I157*$G$149</f>
        <v>10599495.83179</v>
      </c>
      <c r="P157" s="114"/>
      <c r="R157" s="32">
        <v>152521</v>
      </c>
      <c r="S157" s="35">
        <v>31960868</v>
      </c>
      <c r="T157" t="s">
        <v>25</v>
      </c>
      <c r="U157" s="96" t="s">
        <v>25</v>
      </c>
      <c r="V157" s="122" t="s">
        <v>25</v>
      </c>
      <c r="W157" s="96" t="s">
        <v>25</v>
      </c>
      <c r="X157" t="s">
        <v>25</v>
      </c>
      <c r="Y157" s="96"/>
      <c r="Z157" s="96"/>
      <c r="AH157" s="99">
        <v>137</v>
      </c>
      <c r="AI157" s="113" t="s">
        <v>4951</v>
      </c>
      <c r="AJ157" s="113">
        <v>2100000</v>
      </c>
      <c r="AK157" s="99">
        <v>1</v>
      </c>
      <c r="AL157" s="20">
        <f t="shared" si="48"/>
        <v>271</v>
      </c>
      <c r="AM157" s="117">
        <f t="shared" si="59"/>
        <v>569100000</v>
      </c>
      <c r="AN157" s="20"/>
    </row>
    <row r="158" spans="5:44">
      <c r="I158">
        <f>I156-I157</f>
        <v>157.72830000000067</v>
      </c>
      <c r="J158" s="114">
        <f>I158*$G$149</f>
        <v>165409.6682100007</v>
      </c>
      <c r="P158" s="114"/>
      <c r="Q158" t="s">
        <v>25</v>
      </c>
      <c r="R158" s="32">
        <v>73656</v>
      </c>
      <c r="S158" s="1">
        <f>S157*R158/R157</f>
        <v>15434659.446292643</v>
      </c>
      <c r="T158" s="114" t="s">
        <v>25</v>
      </c>
      <c r="U158" s="96" t="s">
        <v>25</v>
      </c>
      <c r="V158" s="122" t="s">
        <v>25</v>
      </c>
      <c r="W158" s="96" t="s">
        <v>25</v>
      </c>
      <c r="X158" t="s">
        <v>25</v>
      </c>
      <c r="Y158" s="96"/>
      <c r="Z158" s="96"/>
      <c r="AH158" s="99">
        <v>138</v>
      </c>
      <c r="AI158" s="113" t="s">
        <v>4956</v>
      </c>
      <c r="AJ158" s="113">
        <v>100000</v>
      </c>
      <c r="AK158" s="99">
        <v>4</v>
      </c>
      <c r="AL158" s="20">
        <f>AL159+AK158</f>
        <v>270</v>
      </c>
      <c r="AM158" s="117">
        <f t="shared" si="59"/>
        <v>27000000</v>
      </c>
      <c r="AN158" s="20"/>
      <c r="AQ158" t="s">
        <v>25</v>
      </c>
    </row>
    <row r="159" spans="5:44">
      <c r="L159" t="s">
        <v>25</v>
      </c>
      <c r="N159" t="s">
        <v>25</v>
      </c>
      <c r="R159" s="32">
        <f>R157-R158</f>
        <v>78865</v>
      </c>
      <c r="S159" s="1">
        <f>R159*S157/R157</f>
        <v>16526208.553707357</v>
      </c>
      <c r="T159" t="s">
        <v>25</v>
      </c>
      <c r="U159" s="122" t="s">
        <v>25</v>
      </c>
      <c r="V159" s="96"/>
      <c r="W159" s="122" t="s">
        <v>25</v>
      </c>
      <c r="X159" t="s">
        <v>25</v>
      </c>
      <c r="Y159" s="96" t="s">
        <v>25</v>
      </c>
      <c r="Z159" s="96"/>
      <c r="AH159" s="99">
        <v>139</v>
      </c>
      <c r="AI159" s="113" t="s">
        <v>4962</v>
      </c>
      <c r="AJ159" s="113">
        <v>900000</v>
      </c>
      <c r="AK159" s="99">
        <v>0</v>
      </c>
      <c r="AL159" s="20">
        <f t="shared" ref="AL159:AL168" si="60">AL160+AK159</f>
        <v>266</v>
      </c>
      <c r="AM159" s="117">
        <f t="shared" ref="AM159:AM168" si="61">AJ159*AL159</f>
        <v>239400000</v>
      </c>
      <c r="AN159" s="20"/>
      <c r="AP159" t="s">
        <v>25</v>
      </c>
    </row>
    <row r="160" spans="5:44">
      <c r="J160" s="114">
        <f>J157-J151</f>
        <v>6205495.8317900002</v>
      </c>
      <c r="V160" s="96"/>
      <c r="W160"/>
      <c r="X160" t="s">
        <v>25</v>
      </c>
      <c r="Y160" s="96"/>
      <c r="AH160" s="99">
        <v>140</v>
      </c>
      <c r="AI160" s="113" t="s">
        <v>4962</v>
      </c>
      <c r="AJ160" s="113">
        <v>1100000</v>
      </c>
      <c r="AK160" s="99">
        <v>0</v>
      </c>
      <c r="AL160" s="20">
        <f t="shared" si="60"/>
        <v>266</v>
      </c>
      <c r="AM160" s="117">
        <f t="shared" si="61"/>
        <v>292600000</v>
      </c>
      <c r="AN160" s="20" t="s">
        <v>4980</v>
      </c>
      <c r="AQ160" t="s">
        <v>25</v>
      </c>
    </row>
    <row r="161" spans="9:43">
      <c r="Q161" s="99" t="s">
        <v>4447</v>
      </c>
      <c r="R161" s="99" t="s">
        <v>4449</v>
      </c>
      <c r="S161" s="99"/>
      <c r="T161" s="99" t="s">
        <v>4450</v>
      </c>
      <c r="U161" s="99"/>
      <c r="V161" s="99"/>
      <c r="W161" s="99" t="s">
        <v>4558</v>
      </c>
      <c r="X161" t="s">
        <v>25</v>
      </c>
      <c r="Y161" s="96"/>
      <c r="Z161" t="s">
        <v>25</v>
      </c>
      <c r="AH161" s="99">
        <v>141</v>
      </c>
      <c r="AI161" s="113" t="s">
        <v>4962</v>
      </c>
      <c r="AJ161" s="113">
        <v>115000</v>
      </c>
      <c r="AK161" s="99"/>
      <c r="AL161" s="20">
        <f t="shared" si="60"/>
        <v>266</v>
      </c>
      <c r="AM161" s="117">
        <f t="shared" si="61"/>
        <v>30590000</v>
      </c>
      <c r="AN161" s="20"/>
      <c r="AQ161" t="s">
        <v>25</v>
      </c>
    </row>
    <row r="162" spans="9:43">
      <c r="J162" t="s">
        <v>25</v>
      </c>
      <c r="P162" s="114"/>
      <c r="Q162" s="113">
        <v>1000</v>
      </c>
      <c r="R162" s="99">
        <v>0.25</v>
      </c>
      <c r="S162" s="99"/>
      <c r="T162" s="99">
        <f>1-R162</f>
        <v>0.75</v>
      </c>
      <c r="U162" s="99"/>
      <c r="V162" s="99"/>
      <c r="W162" s="99"/>
      <c r="Y162" s="96" t="s">
        <v>25</v>
      </c>
      <c r="AH162" s="99">
        <v>142</v>
      </c>
      <c r="AI162" s="113" t="s">
        <v>4971</v>
      </c>
      <c r="AJ162" s="113">
        <v>-1100000</v>
      </c>
      <c r="AK162" s="99"/>
      <c r="AL162" s="20">
        <f t="shared" si="60"/>
        <v>266</v>
      </c>
      <c r="AM162" s="117">
        <f t="shared" si="61"/>
        <v>-292600000</v>
      </c>
      <c r="AN162" s="20" t="s">
        <v>4981</v>
      </c>
      <c r="AQ162" t="s">
        <v>25</v>
      </c>
    </row>
    <row r="163" spans="9:43">
      <c r="Q163" s="168" t="s">
        <v>4434</v>
      </c>
      <c r="R163" s="168" t="s">
        <v>4452</v>
      </c>
      <c r="S163" s="168" t="s">
        <v>4453</v>
      </c>
      <c r="T163" s="168"/>
      <c r="U163" s="168" t="s">
        <v>4448</v>
      </c>
      <c r="V163" s="56" t="s">
        <v>4451</v>
      </c>
      <c r="W163" s="99"/>
      <c r="X163" s="8" t="s">
        <v>25</v>
      </c>
      <c r="Y163" s="122" t="s">
        <v>25</v>
      </c>
      <c r="AH163" s="99">
        <v>143</v>
      </c>
      <c r="AI163" s="113" t="s">
        <v>4971</v>
      </c>
      <c r="AJ163" s="113">
        <v>900000</v>
      </c>
      <c r="AK163" s="99">
        <v>1</v>
      </c>
      <c r="AL163" s="20">
        <f t="shared" si="60"/>
        <v>266</v>
      </c>
      <c r="AM163" s="117">
        <f t="shared" si="61"/>
        <v>239400000</v>
      </c>
      <c r="AN163" s="20" t="s">
        <v>4980</v>
      </c>
    </row>
    <row r="164" spans="9:43">
      <c r="K164" s="96"/>
      <c r="L164" s="96"/>
      <c r="P164" s="114"/>
      <c r="Q164" s="168" t="s">
        <v>749</v>
      </c>
      <c r="R164" s="56">
        <v>1552738</v>
      </c>
      <c r="S164" s="113">
        <f>R164*$T$351</f>
        <v>2511124503.7853947</v>
      </c>
      <c r="T164" s="168"/>
      <c r="U164" s="168">
        <f>$Q$162*$T$162*S164/$R$191</f>
        <v>329.7599418267323</v>
      </c>
      <c r="V164" s="95">
        <f>S164+U164</f>
        <v>2511124833.5453367</v>
      </c>
      <c r="W164" s="99">
        <f>R164*100/U348</f>
        <v>43.967992243564311</v>
      </c>
      <c r="X164" s="217"/>
      <c r="Y164" s="96" t="s">
        <v>25</v>
      </c>
      <c r="AH164" s="99">
        <v>144</v>
      </c>
      <c r="AI164" s="113" t="s">
        <v>4978</v>
      </c>
      <c r="AJ164" s="113">
        <v>2000000</v>
      </c>
      <c r="AK164" s="99">
        <v>0</v>
      </c>
      <c r="AL164" s="20">
        <f t="shared" si="60"/>
        <v>265</v>
      </c>
      <c r="AM164" s="117">
        <f t="shared" si="61"/>
        <v>530000000</v>
      </c>
      <c r="AN164" s="20"/>
    </row>
    <row r="165" spans="9:43">
      <c r="K165" s="96"/>
      <c r="L165" s="96"/>
      <c r="O165" s="96"/>
      <c r="Q165" s="168" t="s">
        <v>4436</v>
      </c>
      <c r="R165" s="56">
        <v>1809710</v>
      </c>
      <c r="S165" s="113">
        <f>R165*$T$351</f>
        <v>2926705681.0263333</v>
      </c>
      <c r="T165" s="168"/>
      <c r="U165" s="213">
        <f>$Q$162*$T$162*S165/$R$191</f>
        <v>384.33390843996591</v>
      </c>
      <c r="V165" s="95">
        <f t="shared" ref="V165:V166" si="62">S165+U165</f>
        <v>2926706065.3602419</v>
      </c>
      <c r="W165" s="99">
        <f>R165*100/U348</f>
        <v>51.244521125328788</v>
      </c>
      <c r="X165" s="115"/>
      <c r="Y165" s="96"/>
      <c r="Z165" t="s">
        <v>25</v>
      </c>
      <c r="AH165" s="99">
        <v>145</v>
      </c>
      <c r="AI165" s="113" t="s">
        <v>4978</v>
      </c>
      <c r="AJ165" s="113">
        <v>360000</v>
      </c>
      <c r="AK165" s="99">
        <v>1</v>
      </c>
      <c r="AL165" s="20">
        <f t="shared" si="60"/>
        <v>265</v>
      </c>
      <c r="AM165" s="117">
        <f t="shared" si="61"/>
        <v>95400000</v>
      </c>
      <c r="AN165" s="20"/>
    </row>
    <row r="166" spans="9:43">
      <c r="K166" s="96"/>
      <c r="L166" s="96"/>
      <c r="O166" s="96"/>
      <c r="P166" s="114"/>
      <c r="Q166" s="168" t="s">
        <v>4435</v>
      </c>
      <c r="R166" s="56">
        <v>51212</v>
      </c>
      <c r="S166" s="113">
        <f>R166*$T$351</f>
        <v>82821253.867592365</v>
      </c>
      <c r="T166" s="168"/>
      <c r="U166" s="213">
        <f>$Q$162*$T$162*S166/$R$191</f>
        <v>10.876056450496231</v>
      </c>
      <c r="V166" s="95">
        <f t="shared" si="62"/>
        <v>82821264.743648812</v>
      </c>
      <c r="W166" s="99">
        <f>R166*100/U348</f>
        <v>1.4501408600661643</v>
      </c>
      <c r="X166" s="115"/>
      <c r="Y166" t="s">
        <v>25</v>
      </c>
      <c r="Z166" t="s">
        <v>25</v>
      </c>
      <c r="AH166" s="99">
        <v>146</v>
      </c>
      <c r="AI166" s="113" t="s">
        <v>4979</v>
      </c>
      <c r="AJ166" s="113">
        <v>3000000</v>
      </c>
      <c r="AK166" s="99">
        <v>1</v>
      </c>
      <c r="AL166" s="20">
        <f t="shared" si="60"/>
        <v>264</v>
      </c>
      <c r="AM166" s="117">
        <f t="shared" si="61"/>
        <v>792000000</v>
      </c>
      <c r="AN166" s="20"/>
    </row>
    <row r="167" spans="9:43">
      <c r="K167" s="96"/>
      <c r="L167" s="96"/>
      <c r="P167" s="114"/>
      <c r="Q167" s="168" t="s">
        <v>1083</v>
      </c>
      <c r="R167" s="56">
        <v>115465</v>
      </c>
      <c r="S167" s="113">
        <f>R167*$T$351</f>
        <v>186732720.41360524</v>
      </c>
      <c r="T167" s="168"/>
      <c r="U167" s="213">
        <f>$Q$162*$T$162*S167/$R$191</f>
        <v>24.521671835830414</v>
      </c>
      <c r="V167" s="95">
        <f>S167+U167</f>
        <v>186732744.93527707</v>
      </c>
      <c r="W167" s="99">
        <f>R167*100/U348</f>
        <v>3.2695562447773892</v>
      </c>
      <c r="X167" s="115"/>
      <c r="Y167" t="s">
        <v>25</v>
      </c>
      <c r="AH167" s="99">
        <v>147</v>
      </c>
      <c r="AI167" s="113" t="s">
        <v>4976</v>
      </c>
      <c r="AJ167" s="113">
        <v>-658226</v>
      </c>
      <c r="AK167" s="99">
        <v>1</v>
      </c>
      <c r="AL167" s="20">
        <f t="shared" si="60"/>
        <v>263</v>
      </c>
      <c r="AM167" s="117">
        <f t="shared" si="61"/>
        <v>-173113438</v>
      </c>
      <c r="AN167" s="20"/>
    </row>
    <row r="168" spans="9:43">
      <c r="K168" s="96"/>
      <c r="L168" s="96"/>
      <c r="Q168" s="168" t="s">
        <v>5498</v>
      </c>
      <c r="R168" s="56">
        <v>2394</v>
      </c>
      <c r="S168" s="113">
        <f>R168*$T$351</f>
        <v>3871633.2453139131</v>
      </c>
      <c r="T168" s="168"/>
      <c r="U168" s="168">
        <f>$Q$162*$T$162*S168/$R$191</f>
        <v>0.50842144697508351</v>
      </c>
      <c r="V168" s="95">
        <f>S168+U168</f>
        <v>3871633.7537353602</v>
      </c>
      <c r="W168" s="99">
        <f>R168*100/U348</f>
        <v>6.7789526263344474E-2</v>
      </c>
      <c r="X168" s="114">
        <f>S167-I153-J148</f>
        <v>138026090.51360524</v>
      </c>
      <c r="Y168" t="s">
        <v>25</v>
      </c>
      <c r="Z168" t="s">
        <v>25</v>
      </c>
      <c r="AH168" s="99">
        <v>148</v>
      </c>
      <c r="AI168" s="113" t="s">
        <v>4982</v>
      </c>
      <c r="AJ168" s="113">
        <v>1000000</v>
      </c>
      <c r="AK168" s="99">
        <v>15</v>
      </c>
      <c r="AL168" s="20">
        <f t="shared" si="60"/>
        <v>262</v>
      </c>
      <c r="AM168" s="117">
        <f t="shared" si="61"/>
        <v>262000000</v>
      </c>
      <c r="AN168" s="20"/>
      <c r="AP168" t="s">
        <v>25</v>
      </c>
    </row>
    <row r="169" spans="9:43">
      <c r="I169" s="96"/>
      <c r="J169" s="96"/>
      <c r="K169" s="96"/>
      <c r="L169" s="96"/>
      <c r="M169" t="s">
        <v>25</v>
      </c>
      <c r="Q169" s="168"/>
      <c r="R169" s="168"/>
      <c r="S169" s="168"/>
      <c r="T169" s="168"/>
      <c r="U169" s="168"/>
      <c r="V169" s="168"/>
      <c r="W169" s="99"/>
      <c r="X169" s="96"/>
      <c r="Y169" t="s">
        <v>25</v>
      </c>
      <c r="AH169" s="99">
        <v>149</v>
      </c>
      <c r="AI169" s="113" t="s">
        <v>5017</v>
      </c>
      <c r="AJ169" s="113">
        <v>1130250</v>
      </c>
      <c r="AK169" s="99">
        <v>5</v>
      </c>
      <c r="AL169" s="20">
        <f t="shared" si="48"/>
        <v>247</v>
      </c>
      <c r="AM169" s="117">
        <f t="shared" si="59"/>
        <v>279171750</v>
      </c>
      <c r="AN169" s="20"/>
    </row>
    <row r="170" spans="9:43">
      <c r="P170" s="114"/>
      <c r="Q170" s="99"/>
      <c r="R170" s="99"/>
      <c r="S170" s="99"/>
      <c r="T170" s="99" t="s">
        <v>25</v>
      </c>
      <c r="U170" s="99"/>
      <c r="V170" s="99"/>
      <c r="W170" s="99"/>
      <c r="X170" s="96"/>
      <c r="Y170" t="s">
        <v>25</v>
      </c>
      <c r="AE170" s="96" t="s">
        <v>25</v>
      </c>
      <c r="AH170" s="99">
        <v>150</v>
      </c>
      <c r="AI170" s="113" t="s">
        <v>5030</v>
      </c>
      <c r="AJ170" s="113">
        <v>206000</v>
      </c>
      <c r="AK170" s="99">
        <v>2</v>
      </c>
      <c r="AL170" s="20">
        <f t="shared" si="48"/>
        <v>242</v>
      </c>
      <c r="AM170" s="117">
        <f t="shared" si="59"/>
        <v>49852000</v>
      </c>
      <c r="AN170" s="20"/>
    </row>
    <row r="171" spans="9:43">
      <c r="P171" s="96"/>
      <c r="Q171" s="99"/>
      <c r="R171" s="99"/>
      <c r="S171" s="99"/>
      <c r="T171" s="99"/>
      <c r="U171" s="99"/>
      <c r="V171" s="99"/>
      <c r="W171" s="99"/>
      <c r="X171" s="96"/>
      <c r="Z171" t="s">
        <v>25</v>
      </c>
      <c r="AH171" s="99">
        <v>151</v>
      </c>
      <c r="AI171" s="113" t="s">
        <v>5037</v>
      </c>
      <c r="AJ171" s="113">
        <v>50000</v>
      </c>
      <c r="AK171" s="99">
        <v>2</v>
      </c>
      <c r="AL171" s="20">
        <f t="shared" si="48"/>
        <v>240</v>
      </c>
      <c r="AM171" s="117">
        <f t="shared" si="59"/>
        <v>12000000</v>
      </c>
      <c r="AN171" s="20"/>
    </row>
    <row r="172" spans="9:43">
      <c r="K172" s="96"/>
      <c r="L172" s="96"/>
      <c r="P172" s="114"/>
      <c r="Q172" s="99"/>
      <c r="R172" s="99"/>
      <c r="S172" s="99"/>
      <c r="T172" s="99"/>
      <c r="U172" s="99"/>
      <c r="V172" s="99"/>
      <c r="W172" s="99"/>
      <c r="X172" s="96"/>
      <c r="Y172" t="s">
        <v>25</v>
      </c>
      <c r="AH172" s="99">
        <v>152</v>
      </c>
      <c r="AI172" s="113" t="s">
        <v>5042</v>
      </c>
      <c r="AJ172" s="113">
        <v>105000</v>
      </c>
      <c r="AK172" s="99">
        <v>4</v>
      </c>
      <c r="AL172" s="20">
        <f t="shared" si="48"/>
        <v>238</v>
      </c>
      <c r="AM172" s="117">
        <f t="shared" si="59"/>
        <v>24990000</v>
      </c>
      <c r="AN172" s="20"/>
    </row>
    <row r="173" spans="9:43">
      <c r="P173" s="114"/>
      <c r="Q173" s="96"/>
      <c r="R173" s="96"/>
      <c r="S173" s="96"/>
      <c r="T173" s="96"/>
      <c r="V173" s="96"/>
      <c r="X173" s="115"/>
      <c r="Y173" t="s">
        <v>25</v>
      </c>
      <c r="AH173" s="99">
        <v>153</v>
      </c>
      <c r="AI173" s="113" t="s">
        <v>5046</v>
      </c>
      <c r="AJ173" s="113">
        <v>5000000</v>
      </c>
      <c r="AK173" s="99">
        <v>1</v>
      </c>
      <c r="AL173" s="20">
        <f t="shared" si="48"/>
        <v>234</v>
      </c>
      <c r="AM173" s="117">
        <f t="shared" si="59"/>
        <v>1170000000</v>
      </c>
      <c r="AN173" s="20"/>
    </row>
    <row r="174" spans="9:43">
      <c r="P174" s="114"/>
      <c r="Q174" s="99" t="s">
        <v>5011</v>
      </c>
      <c r="R174" s="95">
        <f>S164-R179</f>
        <v>703211113.58539438</v>
      </c>
      <c r="S174" s="96"/>
      <c r="T174" s="96"/>
      <c r="V174" s="96"/>
      <c r="Y174" t="s">
        <v>25</v>
      </c>
      <c r="Z174" t="s">
        <v>25</v>
      </c>
      <c r="AH174" s="99">
        <v>154</v>
      </c>
      <c r="AI174" s="113" t="s">
        <v>5047</v>
      </c>
      <c r="AJ174" s="113">
        <v>2500000</v>
      </c>
      <c r="AK174" s="99">
        <v>2</v>
      </c>
      <c r="AL174" s="20">
        <f t="shared" si="48"/>
        <v>233</v>
      </c>
      <c r="AM174" s="117">
        <f t="shared" si="59"/>
        <v>582500000</v>
      </c>
      <c r="AN174" s="20"/>
    </row>
    <row r="175" spans="9:43">
      <c r="Q175" s="99" t="s">
        <v>5012</v>
      </c>
      <c r="R175" s="95">
        <f>S167+S166-R180</f>
        <v>59481771.881197602</v>
      </c>
      <c r="S175" s="96"/>
      <c r="T175" s="96" t="s">
        <v>25</v>
      </c>
      <c r="V175" s="96"/>
      <c r="Z175" t="s">
        <v>25</v>
      </c>
      <c r="AH175" s="265">
        <v>155</v>
      </c>
      <c r="AI175" s="261" t="s">
        <v>5053</v>
      </c>
      <c r="AJ175" s="261">
        <v>-50000000</v>
      </c>
      <c r="AK175" s="265">
        <v>7</v>
      </c>
      <c r="AL175" s="265">
        <f t="shared" si="48"/>
        <v>231</v>
      </c>
      <c r="AM175" s="261">
        <f t="shared" si="59"/>
        <v>-11550000000</v>
      </c>
      <c r="AN175" s="265" t="s">
        <v>5061</v>
      </c>
    </row>
    <row r="176" spans="9:43">
      <c r="P176" s="114"/>
      <c r="Q176" s="96"/>
      <c r="R176" s="96"/>
      <c r="S176" s="96"/>
      <c r="T176" s="96"/>
      <c r="V176" s="96"/>
      <c r="Z176" t="s">
        <v>25</v>
      </c>
      <c r="AH176" s="99">
        <v>156</v>
      </c>
      <c r="AI176" s="113" t="s">
        <v>5059</v>
      </c>
      <c r="AJ176" s="113">
        <v>10000000</v>
      </c>
      <c r="AK176" s="99">
        <v>12</v>
      </c>
      <c r="AL176" s="20">
        <f t="shared" si="48"/>
        <v>224</v>
      </c>
      <c r="AM176" s="117">
        <f t="shared" si="59"/>
        <v>2240000000</v>
      </c>
      <c r="AN176" s="20" t="s">
        <v>4731</v>
      </c>
    </row>
    <row r="177" spans="15:44">
      <c r="P177" s="114"/>
      <c r="Q177" s="96"/>
      <c r="R177" s="96"/>
      <c r="S177" s="96"/>
      <c r="T177" s="99" t="s">
        <v>180</v>
      </c>
      <c r="U177" s="99" t="s">
        <v>4469</v>
      </c>
      <c r="V177" s="99" t="s">
        <v>4470</v>
      </c>
      <c r="W177" s="99" t="s">
        <v>4480</v>
      </c>
      <c r="X177" s="99" t="s">
        <v>8</v>
      </c>
      <c r="AH177" s="99">
        <v>157</v>
      </c>
      <c r="AI177" s="113" t="s">
        <v>5066</v>
      </c>
      <c r="AJ177" s="113">
        <v>-16266000</v>
      </c>
      <c r="AK177" s="99">
        <v>1</v>
      </c>
      <c r="AL177" s="20">
        <f t="shared" si="48"/>
        <v>212</v>
      </c>
      <c r="AM177" s="117">
        <f t="shared" si="59"/>
        <v>-3448392000</v>
      </c>
      <c r="AN177" s="20" t="s">
        <v>5074</v>
      </c>
      <c r="AQ177" t="s">
        <v>25</v>
      </c>
    </row>
    <row r="178" spans="15:44">
      <c r="O178" s="96"/>
      <c r="P178" s="114"/>
      <c r="Q178" s="36" t="s">
        <v>4554</v>
      </c>
      <c r="R178" s="95">
        <f>SUM(N42:N50)</f>
        <v>3704153587.7000003</v>
      </c>
      <c r="T178" s="113" t="s">
        <v>4446</v>
      </c>
      <c r="U178" s="56">
        <v>1000000</v>
      </c>
      <c r="V178" s="113">
        <v>239.024</v>
      </c>
      <c r="W178" s="113">
        <f t="shared" ref="W178:W279" si="63">U178*V178</f>
        <v>239024000</v>
      </c>
      <c r="X178" s="99"/>
      <c r="Y178" t="s">
        <v>25</v>
      </c>
      <c r="AH178" s="99">
        <v>158</v>
      </c>
      <c r="AI178" s="113" t="s">
        <v>5075</v>
      </c>
      <c r="AJ178" s="113">
        <v>1000000</v>
      </c>
      <c r="AK178" s="99">
        <v>6</v>
      </c>
      <c r="AL178" s="20">
        <f t="shared" ref="AL178:AL181" si="64">AL179+AK178</f>
        <v>211</v>
      </c>
      <c r="AM178" s="117">
        <f t="shared" ref="AM178:AM181" si="65">AJ178*AL178</f>
        <v>211000000</v>
      </c>
      <c r="AN178" s="20"/>
    </row>
    <row r="179" spans="15:44">
      <c r="Q179" s="99" t="s">
        <v>4437</v>
      </c>
      <c r="R179" s="95">
        <f>SUM(N21:N24)</f>
        <v>1807913390.2000003</v>
      </c>
      <c r="T179" s="168" t="s">
        <v>4428</v>
      </c>
      <c r="U179" s="56">
        <v>5904</v>
      </c>
      <c r="V179" s="113">
        <v>237.148</v>
      </c>
      <c r="W179" s="113">
        <f t="shared" si="63"/>
        <v>1400121.7919999999</v>
      </c>
      <c r="X179" s="99" t="s">
        <v>749</v>
      </c>
      <c r="Y179" t="s">
        <v>25</v>
      </c>
      <c r="AH179" s="99">
        <v>159</v>
      </c>
      <c r="AI179" s="113" t="s">
        <v>5083</v>
      </c>
      <c r="AJ179" s="113">
        <v>40000</v>
      </c>
      <c r="AK179" s="99">
        <v>5</v>
      </c>
      <c r="AL179" s="20">
        <f t="shared" si="64"/>
        <v>205</v>
      </c>
      <c r="AM179" s="117">
        <f t="shared" si="65"/>
        <v>8200000</v>
      </c>
      <c r="AN179" s="20"/>
    </row>
    <row r="180" spans="15:44">
      <c r="Q180" s="99" t="s">
        <v>4438</v>
      </c>
      <c r="R180" s="95">
        <f>SUM(N27:N29)</f>
        <v>210072202.40000001</v>
      </c>
      <c r="T180" s="168" t="s">
        <v>4222</v>
      </c>
      <c r="U180" s="168">
        <v>1000</v>
      </c>
      <c r="V180" s="113">
        <v>247.393</v>
      </c>
      <c r="W180" s="113">
        <f t="shared" si="63"/>
        <v>247393</v>
      </c>
      <c r="X180" s="99" t="s">
        <v>749</v>
      </c>
      <c r="AB180" t="s">
        <v>25</v>
      </c>
      <c r="AH180" s="99">
        <v>160</v>
      </c>
      <c r="AI180" s="113" t="s">
        <v>5095</v>
      </c>
      <c r="AJ180" s="113">
        <v>120000</v>
      </c>
      <c r="AK180" s="99">
        <v>6</v>
      </c>
      <c r="AL180" s="20">
        <f t="shared" si="64"/>
        <v>200</v>
      </c>
      <c r="AM180" s="117">
        <f t="shared" si="65"/>
        <v>24000000</v>
      </c>
      <c r="AN180" s="20"/>
    </row>
    <row r="181" spans="15:44">
      <c r="P181" s="114"/>
      <c r="Q181" s="99" t="s">
        <v>4439</v>
      </c>
      <c r="R181" s="95">
        <f>N40</f>
        <v>4364</v>
      </c>
      <c r="T181" s="168" t="s">
        <v>4481</v>
      </c>
      <c r="U181" s="168">
        <v>8071</v>
      </c>
      <c r="V181" s="113">
        <v>247.797</v>
      </c>
      <c r="W181" s="113">
        <f t="shared" si="63"/>
        <v>1999969.5870000001</v>
      </c>
      <c r="X181" s="99" t="s">
        <v>4435</v>
      </c>
      <c r="Y181" t="s">
        <v>25</v>
      </c>
      <c r="Z181" t="s">
        <v>25</v>
      </c>
      <c r="AH181" s="99">
        <v>161</v>
      </c>
      <c r="AI181" s="113" t="s">
        <v>5088</v>
      </c>
      <c r="AJ181" s="113">
        <v>249000</v>
      </c>
      <c r="AK181" s="99">
        <v>9</v>
      </c>
      <c r="AL181" s="20">
        <f t="shared" si="64"/>
        <v>194</v>
      </c>
      <c r="AM181" s="117">
        <f t="shared" si="65"/>
        <v>48306000</v>
      </c>
      <c r="AN181" s="20"/>
    </row>
    <row r="182" spans="15:44">
      <c r="P182" s="114"/>
      <c r="Q182" s="99" t="s">
        <v>4440</v>
      </c>
      <c r="R182" s="95">
        <f>N20</f>
        <v>7514</v>
      </c>
      <c r="T182" s="168" t="s">
        <v>4481</v>
      </c>
      <c r="U182" s="168">
        <v>53672</v>
      </c>
      <c r="V182" s="113">
        <v>247.797</v>
      </c>
      <c r="W182" s="113">
        <f t="shared" si="63"/>
        <v>13299760.584000001</v>
      </c>
      <c r="X182" s="99" t="s">
        <v>452</v>
      </c>
      <c r="Y182" t="s">
        <v>25</v>
      </c>
      <c r="AH182" s="99">
        <v>162</v>
      </c>
      <c r="AI182" s="113" t="s">
        <v>5117</v>
      </c>
      <c r="AJ182" s="113">
        <v>65000</v>
      </c>
      <c r="AK182" s="99">
        <v>7</v>
      </c>
      <c r="AL182" s="20">
        <f t="shared" ref="AL182" si="66">AL183+AK182</f>
        <v>185</v>
      </c>
      <c r="AM182" s="117">
        <f t="shared" ref="AM182" si="67">AJ182*AL182</f>
        <v>12025000</v>
      </c>
      <c r="AN182" s="20"/>
    </row>
    <row r="183" spans="15:44">
      <c r="Q183" s="99" t="s">
        <v>4441</v>
      </c>
      <c r="R183" s="95">
        <f>N26</f>
        <v>11296</v>
      </c>
      <c r="T183" s="168" t="s">
        <v>4489</v>
      </c>
      <c r="U183" s="168">
        <v>4099</v>
      </c>
      <c r="V183" s="113">
        <v>243.93</v>
      </c>
      <c r="W183" s="113">
        <f t="shared" si="63"/>
        <v>999869.07000000007</v>
      </c>
      <c r="X183" s="99" t="s">
        <v>4435</v>
      </c>
      <c r="Z183" t="s">
        <v>25</v>
      </c>
      <c r="AH183" s="99">
        <v>163</v>
      </c>
      <c r="AI183" s="113" t="s">
        <v>5127</v>
      </c>
      <c r="AJ183" s="113">
        <v>-312598</v>
      </c>
      <c r="AK183" s="99">
        <v>0</v>
      </c>
      <c r="AL183" s="20">
        <f t="shared" ref="AL183:AL190" si="68">AL184+AK183</f>
        <v>178</v>
      </c>
      <c r="AM183" s="117">
        <f t="shared" ref="AM183:AM190" si="69">AJ183*AL183</f>
        <v>-55642444</v>
      </c>
      <c r="AN183" s="20"/>
      <c r="AO183" t="s">
        <v>25</v>
      </c>
      <c r="AQ183" t="s">
        <v>25</v>
      </c>
    </row>
    <row r="184" spans="15:44">
      <c r="P184" s="114"/>
      <c r="Q184" s="99" t="s">
        <v>5594</v>
      </c>
      <c r="R184" s="95">
        <v>-65240</v>
      </c>
      <c r="T184" s="168" t="s">
        <v>4489</v>
      </c>
      <c r="U184" s="168">
        <v>9301</v>
      </c>
      <c r="V184" s="113">
        <v>243.93</v>
      </c>
      <c r="W184" s="113">
        <f t="shared" si="63"/>
        <v>2268792.9300000002</v>
      </c>
      <c r="X184" s="99" t="s">
        <v>452</v>
      </c>
      <c r="AH184" s="99">
        <v>164</v>
      </c>
      <c r="AI184" s="113" t="s">
        <v>5127</v>
      </c>
      <c r="AJ184" s="113">
        <v>50000</v>
      </c>
      <c r="AK184" s="99">
        <v>6</v>
      </c>
      <c r="AL184" s="20">
        <f t="shared" si="68"/>
        <v>178</v>
      </c>
      <c r="AM184" s="117">
        <f t="shared" si="69"/>
        <v>8900000</v>
      </c>
      <c r="AN184" s="20"/>
      <c r="AR184" t="s">
        <v>25</v>
      </c>
    </row>
    <row r="185" spans="15:44">
      <c r="Q185" s="99" t="s">
        <v>5555</v>
      </c>
      <c r="R185" s="95">
        <f>-2314.84*P44*0.99-4000000</f>
        <v>-6895781.5057600001</v>
      </c>
      <c r="T185" s="168" t="s">
        <v>4495</v>
      </c>
      <c r="U185" s="168">
        <v>8334</v>
      </c>
      <c r="V185" s="113">
        <v>239.97</v>
      </c>
      <c r="W185" s="113">
        <f t="shared" si="63"/>
        <v>1999909.98</v>
      </c>
      <c r="X185" s="99" t="s">
        <v>4435</v>
      </c>
      <c r="Y185" t="s">
        <v>25</v>
      </c>
      <c r="Z185" t="s">
        <v>25</v>
      </c>
      <c r="AH185" s="99">
        <v>165</v>
      </c>
      <c r="AI185" s="113" t="s">
        <v>5137</v>
      </c>
      <c r="AJ185" s="113">
        <v>-200000</v>
      </c>
      <c r="AK185" s="99">
        <v>0</v>
      </c>
      <c r="AL185" s="20">
        <f t="shared" si="68"/>
        <v>172</v>
      </c>
      <c r="AM185" s="117">
        <f t="shared" si="69"/>
        <v>-34400000</v>
      </c>
      <c r="AN185" s="20" t="s">
        <v>5138</v>
      </c>
    </row>
    <row r="186" spans="15:44">
      <c r="P186" s="114"/>
      <c r="Q186" s="99" t="s">
        <v>5154</v>
      </c>
      <c r="R186" s="95">
        <v>0</v>
      </c>
      <c r="T186" s="168" t="s">
        <v>4221</v>
      </c>
      <c r="U186" s="168">
        <v>29041</v>
      </c>
      <c r="V186" s="113">
        <v>233.45</v>
      </c>
      <c r="W186" s="113">
        <f t="shared" si="63"/>
        <v>6779621.4499999993</v>
      </c>
      <c r="X186" s="99" t="s">
        <v>749</v>
      </c>
      <c r="AH186" s="99">
        <v>166</v>
      </c>
      <c r="AI186" s="113" t="s">
        <v>5137</v>
      </c>
      <c r="AJ186" s="113">
        <v>200000</v>
      </c>
      <c r="AK186" s="99">
        <v>3</v>
      </c>
      <c r="AL186" s="20">
        <f t="shared" si="68"/>
        <v>172</v>
      </c>
      <c r="AM186" s="117">
        <f t="shared" si="69"/>
        <v>34400000</v>
      </c>
      <c r="AN186" s="20"/>
      <c r="AQ186" t="s">
        <v>25</v>
      </c>
      <c r="AR186" t="s">
        <v>25</v>
      </c>
    </row>
    <row r="187" spans="15:44">
      <c r="P187" s="114"/>
      <c r="Q187" s="99" t="s">
        <v>5564</v>
      </c>
      <c r="R187" s="95">
        <f>-3154*P44*0.99</f>
        <v>-3945540.4559999998</v>
      </c>
      <c r="S187" s="115"/>
      <c r="T187" s="168" t="s">
        <v>991</v>
      </c>
      <c r="U187" s="168">
        <v>12337</v>
      </c>
      <c r="V187" s="113">
        <v>243.16300000000001</v>
      </c>
      <c r="W187" s="113">
        <f t="shared" si="63"/>
        <v>2999901.9310000003</v>
      </c>
      <c r="X187" s="99" t="s">
        <v>4435</v>
      </c>
      <c r="Y187" t="s">
        <v>25</v>
      </c>
      <c r="Z187" t="s">
        <v>25</v>
      </c>
      <c r="AH187" s="99">
        <v>167</v>
      </c>
      <c r="AI187" s="113" t="s">
        <v>5144</v>
      </c>
      <c r="AJ187" s="113">
        <v>200000</v>
      </c>
      <c r="AK187" s="99">
        <v>3</v>
      </c>
      <c r="AL187" s="20">
        <f t="shared" si="68"/>
        <v>169</v>
      </c>
      <c r="AM187" s="117">
        <f t="shared" si="69"/>
        <v>33800000</v>
      </c>
      <c r="AN187" s="20"/>
    </row>
    <row r="188" spans="15:44">
      <c r="Q188" s="99"/>
      <c r="R188" s="95"/>
      <c r="S188" s="122"/>
      <c r="T188" s="168" t="s">
        <v>4575</v>
      </c>
      <c r="U188" s="168">
        <v>-16118</v>
      </c>
      <c r="V188" s="113">
        <v>248.17</v>
      </c>
      <c r="W188" s="113">
        <f t="shared" si="63"/>
        <v>-4000004.0599999996</v>
      </c>
      <c r="X188" s="99" t="s">
        <v>749</v>
      </c>
      <c r="AH188" s="99">
        <v>168</v>
      </c>
      <c r="AI188" s="113" t="s">
        <v>5147</v>
      </c>
      <c r="AJ188" s="113">
        <v>30000</v>
      </c>
      <c r="AK188" s="99">
        <v>7</v>
      </c>
      <c r="AL188" s="20">
        <f t="shared" si="68"/>
        <v>166</v>
      </c>
      <c r="AM188" s="117">
        <f t="shared" si="69"/>
        <v>4980000</v>
      </c>
      <c r="AN188" s="20"/>
    </row>
    <row r="189" spans="15:44">
      <c r="Q189" s="99"/>
      <c r="R189" s="95"/>
      <c r="S189" s="115"/>
      <c r="T189" s="168" t="s">
        <v>4602</v>
      </c>
      <c r="U189" s="168">
        <v>101681</v>
      </c>
      <c r="V189" s="113">
        <v>246.5711</v>
      </c>
      <c r="W189" s="113">
        <f t="shared" si="63"/>
        <v>25071596.019099999</v>
      </c>
      <c r="X189" s="99" t="s">
        <v>452</v>
      </c>
      <c r="Y189" t="s">
        <v>25</v>
      </c>
      <c r="AH189" s="99">
        <v>169</v>
      </c>
      <c r="AI189" s="113" t="s">
        <v>5105</v>
      </c>
      <c r="AJ189" s="113">
        <v>-10000000</v>
      </c>
      <c r="AK189" s="99">
        <v>0</v>
      </c>
      <c r="AL189" s="20">
        <f t="shared" si="68"/>
        <v>159</v>
      </c>
      <c r="AM189" s="117">
        <f t="shared" si="69"/>
        <v>-1590000000</v>
      </c>
      <c r="AN189" s="20" t="s">
        <v>5061</v>
      </c>
    </row>
    <row r="190" spans="15:44">
      <c r="Q190" s="99" t="s">
        <v>5155</v>
      </c>
      <c r="R190" s="95">
        <v>0</v>
      </c>
      <c r="S190" s="115"/>
      <c r="T190" s="168" t="s">
        <v>4606</v>
      </c>
      <c r="U190" s="168">
        <v>66606</v>
      </c>
      <c r="V190" s="113">
        <v>251.131</v>
      </c>
      <c r="W190" s="113">
        <f t="shared" si="63"/>
        <v>16726831.386</v>
      </c>
      <c r="X190" s="99" t="s">
        <v>749</v>
      </c>
      <c r="Y190" t="s">
        <v>25</v>
      </c>
      <c r="AH190" s="99">
        <v>170</v>
      </c>
      <c r="AI190" s="113" t="s">
        <v>5105</v>
      </c>
      <c r="AJ190" s="113">
        <v>6000000</v>
      </c>
      <c r="AK190" s="99">
        <v>8</v>
      </c>
      <c r="AL190" s="20">
        <f t="shared" si="68"/>
        <v>159</v>
      </c>
      <c r="AM190" s="117">
        <f t="shared" si="69"/>
        <v>954000000</v>
      </c>
      <c r="AN190" s="20"/>
      <c r="AP190" t="s">
        <v>25</v>
      </c>
    </row>
    <row r="191" spans="15:44">
      <c r="Q191" s="99" t="s">
        <v>4445</v>
      </c>
      <c r="R191" s="95">
        <f>SUM(R178:R190)</f>
        <v>5711255792.3382397</v>
      </c>
      <c r="T191" s="168" t="s">
        <v>4611</v>
      </c>
      <c r="U191" s="168">
        <v>172025</v>
      </c>
      <c r="V191" s="113">
        <v>245.52809999999999</v>
      </c>
      <c r="W191" s="113">
        <f t="shared" si="63"/>
        <v>42236971.402499996</v>
      </c>
      <c r="X191" s="99" t="s">
        <v>452</v>
      </c>
      <c r="Y191" t="s">
        <v>25</v>
      </c>
      <c r="AH191" s="99">
        <v>171</v>
      </c>
      <c r="AI191" s="113" t="s">
        <v>5174</v>
      </c>
      <c r="AJ191" s="113">
        <v>150000</v>
      </c>
      <c r="AK191" s="99">
        <v>7</v>
      </c>
      <c r="AL191" s="20">
        <f t="shared" ref="AL191:AL233" si="70">AL192+AK191</f>
        <v>151</v>
      </c>
      <c r="AM191" s="117">
        <f t="shared" ref="AM191:AM233" si="71">AJ191*AL191</f>
        <v>22650000</v>
      </c>
      <c r="AN191" s="20"/>
    </row>
    <row r="192" spans="15:44">
      <c r="Q192" s="96"/>
      <c r="T192" s="168" t="s">
        <v>4611</v>
      </c>
      <c r="U192" s="168">
        <v>189227</v>
      </c>
      <c r="V192" s="113">
        <v>245.52809999999999</v>
      </c>
      <c r="W192" s="113">
        <f t="shared" si="63"/>
        <v>46460545.778700002</v>
      </c>
      <c r="X192" s="99" t="s">
        <v>749</v>
      </c>
      <c r="AH192" s="99">
        <v>172</v>
      </c>
      <c r="AI192" s="113" t="s">
        <v>5210</v>
      </c>
      <c r="AJ192" s="113">
        <v>400000</v>
      </c>
      <c r="AK192" s="99">
        <v>1</v>
      </c>
      <c r="AL192" s="20">
        <f t="shared" si="70"/>
        <v>144</v>
      </c>
      <c r="AM192" s="117">
        <f t="shared" si="71"/>
        <v>57600000</v>
      </c>
      <c r="AN192" s="20"/>
    </row>
    <row r="193" spans="15:45">
      <c r="T193" s="168" t="s">
        <v>4612</v>
      </c>
      <c r="U193" s="168">
        <v>79720</v>
      </c>
      <c r="V193" s="113">
        <v>246.6568</v>
      </c>
      <c r="W193" s="113">
        <f t="shared" si="63"/>
        <v>19663480.096000001</v>
      </c>
      <c r="X193" s="99" t="s">
        <v>452</v>
      </c>
      <c r="AH193" s="99">
        <v>173</v>
      </c>
      <c r="AI193" s="113" t="s">
        <v>5214</v>
      </c>
      <c r="AJ193" s="113">
        <v>-100000</v>
      </c>
      <c r="AK193" s="99">
        <v>1</v>
      </c>
      <c r="AL193" s="20">
        <f t="shared" si="70"/>
        <v>143</v>
      </c>
      <c r="AM193" s="117">
        <f t="shared" si="71"/>
        <v>-14300000</v>
      </c>
      <c r="AN193" s="20"/>
    </row>
    <row r="194" spans="15:45">
      <c r="Q194" s="213" t="s">
        <v>8</v>
      </c>
      <c r="R194" s="213" t="s">
        <v>4435</v>
      </c>
      <c r="S194" s="213"/>
      <c r="T194" s="168" t="s">
        <v>4612</v>
      </c>
      <c r="U194" s="168">
        <v>79720</v>
      </c>
      <c r="V194" s="113">
        <v>246.6568</v>
      </c>
      <c r="W194" s="113">
        <f t="shared" si="63"/>
        <v>19663480.096000001</v>
      </c>
      <c r="X194" s="99" t="s">
        <v>749</v>
      </c>
      <c r="Y194" t="s">
        <v>25</v>
      </c>
      <c r="AH194" s="99">
        <v>174</v>
      </c>
      <c r="AI194" s="113" t="s">
        <v>5218</v>
      </c>
      <c r="AJ194" s="113">
        <v>10000000</v>
      </c>
      <c r="AK194" s="99">
        <v>1</v>
      </c>
      <c r="AL194" s="20">
        <f t="shared" si="70"/>
        <v>142</v>
      </c>
      <c r="AM194" s="117">
        <f t="shared" si="71"/>
        <v>1420000000</v>
      </c>
      <c r="AN194" s="20" t="s">
        <v>4731</v>
      </c>
      <c r="AS194" t="s">
        <v>25</v>
      </c>
    </row>
    <row r="195" spans="15:45">
      <c r="Q195" s="213"/>
      <c r="R195" s="73" t="s">
        <v>180</v>
      </c>
      <c r="S195" s="213" t="s">
        <v>267</v>
      </c>
      <c r="T195" s="168" t="s">
        <v>4635</v>
      </c>
      <c r="U195" s="168">
        <v>17769</v>
      </c>
      <c r="V195" s="113">
        <v>246.17877999999999</v>
      </c>
      <c r="W195" s="113">
        <f t="shared" si="63"/>
        <v>4374350.7418200001</v>
      </c>
      <c r="X195" s="99" t="s">
        <v>749</v>
      </c>
      <c r="AH195" s="99">
        <v>175</v>
      </c>
      <c r="AI195" s="113" t="s">
        <v>5223</v>
      </c>
      <c r="AJ195" s="113">
        <v>-400000</v>
      </c>
      <c r="AK195" s="99">
        <v>6</v>
      </c>
      <c r="AL195" s="20">
        <f t="shared" ref="AL195:AL203" si="72">AL196+AK195</f>
        <v>141</v>
      </c>
      <c r="AM195" s="117">
        <f t="shared" ref="AM195:AM203" si="73">AJ195*AL195</f>
        <v>-56400000</v>
      </c>
      <c r="AN195" s="20"/>
    </row>
    <row r="196" spans="15:45">
      <c r="P196" s="114"/>
      <c r="Q196" s="213"/>
      <c r="R196" s="213" t="s">
        <v>4428</v>
      </c>
      <c r="S196" s="113">
        <v>3000000</v>
      </c>
      <c r="T196" s="168" t="s">
        <v>4635</v>
      </c>
      <c r="U196" s="168">
        <v>17769</v>
      </c>
      <c r="V196" s="113">
        <v>246.17877999999999</v>
      </c>
      <c r="W196" s="113">
        <f t="shared" si="63"/>
        <v>4374350.7418200001</v>
      </c>
      <c r="X196" s="99" t="s">
        <v>452</v>
      </c>
      <c r="Z196" t="s">
        <v>25</v>
      </c>
      <c r="AA196" t="s">
        <v>25</v>
      </c>
      <c r="AH196" s="99">
        <v>176</v>
      </c>
      <c r="AI196" s="113" t="s">
        <v>5230</v>
      </c>
      <c r="AJ196" s="113">
        <v>1300000</v>
      </c>
      <c r="AK196" s="99">
        <v>0</v>
      </c>
      <c r="AL196" s="20">
        <f t="shared" si="72"/>
        <v>135</v>
      </c>
      <c r="AM196" s="117">
        <f t="shared" si="73"/>
        <v>175500000</v>
      </c>
      <c r="AN196" s="20"/>
      <c r="AR196" t="s">
        <v>25</v>
      </c>
    </row>
    <row r="197" spans="15:45">
      <c r="P197" s="114"/>
      <c r="Q197" s="213"/>
      <c r="R197" s="213" t="s">
        <v>4481</v>
      </c>
      <c r="S197" s="113">
        <v>2000000</v>
      </c>
      <c r="T197" s="168" t="s">
        <v>4637</v>
      </c>
      <c r="U197" s="168">
        <v>12438</v>
      </c>
      <c r="V197" s="113">
        <v>241.20465999999999</v>
      </c>
      <c r="W197" s="113">
        <f t="shared" si="63"/>
        <v>3000103.5610799999</v>
      </c>
      <c r="X197" s="99" t="s">
        <v>4435</v>
      </c>
      <c r="Y197" t="s">
        <v>25</v>
      </c>
      <c r="AH197" s="99">
        <v>177</v>
      </c>
      <c r="AI197" s="113" t="s">
        <v>5230</v>
      </c>
      <c r="AJ197" s="113">
        <v>230000</v>
      </c>
      <c r="AK197" s="99">
        <v>1</v>
      </c>
      <c r="AL197" s="20">
        <f t="shared" si="72"/>
        <v>135</v>
      </c>
      <c r="AM197" s="117">
        <f t="shared" si="73"/>
        <v>31050000</v>
      </c>
      <c r="AN197" s="20"/>
    </row>
    <row r="198" spans="15:45">
      <c r="P198" s="114"/>
      <c r="Q198" s="213"/>
      <c r="R198" s="213" t="s">
        <v>4489</v>
      </c>
      <c r="S198" s="113">
        <v>1000000</v>
      </c>
      <c r="T198" s="168" t="s">
        <v>4646</v>
      </c>
      <c r="U198" s="168">
        <v>27363</v>
      </c>
      <c r="V198" s="113">
        <v>239.3886</v>
      </c>
      <c r="W198" s="113">
        <f t="shared" si="63"/>
        <v>6550390.2617999995</v>
      </c>
      <c r="X198" s="99" t="s">
        <v>749</v>
      </c>
      <c r="Y198" t="s">
        <v>25</v>
      </c>
      <c r="AH198" s="99">
        <v>178</v>
      </c>
      <c r="AI198" s="113" t="s">
        <v>5233</v>
      </c>
      <c r="AJ198" s="113">
        <v>880000</v>
      </c>
      <c r="AK198" s="99">
        <v>4</v>
      </c>
      <c r="AL198" s="20">
        <f t="shared" si="72"/>
        <v>134</v>
      </c>
      <c r="AM198" s="117">
        <f t="shared" si="73"/>
        <v>117920000</v>
      </c>
      <c r="AN198" s="20"/>
    </row>
    <row r="199" spans="15:45">
      <c r="O199" t="s">
        <v>25</v>
      </c>
      <c r="P199" s="114"/>
      <c r="Q199" s="213"/>
      <c r="R199" s="213" t="s">
        <v>4495</v>
      </c>
      <c r="S199" s="113">
        <v>2000000</v>
      </c>
      <c r="T199" s="168" t="s">
        <v>4646</v>
      </c>
      <c r="U199" s="168">
        <v>27363</v>
      </c>
      <c r="V199" s="113">
        <v>239.3886</v>
      </c>
      <c r="W199" s="113">
        <f t="shared" si="63"/>
        <v>6550390.2617999995</v>
      </c>
      <c r="X199" s="99" t="s">
        <v>452</v>
      </c>
      <c r="Y199" t="s">
        <v>25</v>
      </c>
      <c r="AH199" s="99">
        <v>179</v>
      </c>
      <c r="AI199" s="113" t="s">
        <v>5238</v>
      </c>
      <c r="AJ199" s="113">
        <v>-900000</v>
      </c>
      <c r="AK199" s="99">
        <v>1</v>
      </c>
      <c r="AL199" s="20">
        <f t="shared" si="72"/>
        <v>130</v>
      </c>
      <c r="AM199" s="117">
        <f t="shared" si="73"/>
        <v>-117000000</v>
      </c>
      <c r="AN199" s="20"/>
    </row>
    <row r="200" spans="15:45">
      <c r="P200" s="114"/>
      <c r="Q200" s="213"/>
      <c r="R200" s="213" t="s">
        <v>991</v>
      </c>
      <c r="S200" s="113">
        <v>3000000</v>
      </c>
      <c r="T200" s="210" t="s">
        <v>4648</v>
      </c>
      <c r="U200" s="210">
        <v>27437</v>
      </c>
      <c r="V200" s="113">
        <v>242.4015</v>
      </c>
      <c r="W200" s="113">
        <f t="shared" si="63"/>
        <v>6650769.9555000002</v>
      </c>
      <c r="X200" s="99" t="s">
        <v>749</v>
      </c>
      <c r="AH200" s="99">
        <v>180</v>
      </c>
      <c r="AI200" s="113" t="s">
        <v>989</v>
      </c>
      <c r="AJ200" s="113">
        <v>-3500000</v>
      </c>
      <c r="AK200" s="99">
        <v>1</v>
      </c>
      <c r="AL200" s="20">
        <f t="shared" si="72"/>
        <v>129</v>
      </c>
      <c r="AM200" s="117">
        <f t="shared" si="73"/>
        <v>-451500000</v>
      </c>
      <c r="AN200" s="20"/>
      <c r="AR200" t="s">
        <v>25</v>
      </c>
    </row>
    <row r="201" spans="15:45">
      <c r="P201" s="114"/>
      <c r="Q201" s="213"/>
      <c r="R201" s="213" t="s">
        <v>4637</v>
      </c>
      <c r="S201" s="113">
        <v>3000000</v>
      </c>
      <c r="T201" s="210" t="s">
        <v>4648</v>
      </c>
      <c r="U201" s="210">
        <v>29104</v>
      </c>
      <c r="V201" s="113">
        <v>242.4015</v>
      </c>
      <c r="W201" s="113">
        <f t="shared" si="63"/>
        <v>7054853.2560000001</v>
      </c>
      <c r="X201" s="99" t="s">
        <v>452</v>
      </c>
      <c r="Z201" t="s">
        <v>25</v>
      </c>
      <c r="AH201" s="99">
        <v>181</v>
      </c>
      <c r="AI201" s="113" t="s">
        <v>4271</v>
      </c>
      <c r="AJ201" s="113">
        <v>-1600000</v>
      </c>
      <c r="AK201" s="99">
        <v>1</v>
      </c>
      <c r="AL201" s="20">
        <f t="shared" si="72"/>
        <v>128</v>
      </c>
      <c r="AM201" s="117">
        <f t="shared" si="73"/>
        <v>-204800000</v>
      </c>
      <c r="AN201" s="20"/>
      <c r="AQ201" t="s">
        <v>25</v>
      </c>
    </row>
    <row r="202" spans="15:45">
      <c r="P202" s="114"/>
      <c r="Q202" s="213" t="s">
        <v>4810</v>
      </c>
      <c r="R202" s="213" t="s">
        <v>4805</v>
      </c>
      <c r="S202" s="113">
        <v>-800000</v>
      </c>
      <c r="T202" s="213" t="s">
        <v>4665</v>
      </c>
      <c r="U202" s="213">
        <v>8991</v>
      </c>
      <c r="V202" s="113">
        <v>238.64867000000001</v>
      </c>
      <c r="W202" s="113">
        <f t="shared" si="63"/>
        <v>2145690.19197</v>
      </c>
      <c r="X202" s="99" t="s">
        <v>749</v>
      </c>
      <c r="AH202" s="99">
        <v>182</v>
      </c>
      <c r="AI202" s="113" t="s">
        <v>5244</v>
      </c>
      <c r="AJ202" s="113">
        <v>-800000</v>
      </c>
      <c r="AK202" s="99">
        <v>7</v>
      </c>
      <c r="AL202" s="20">
        <f t="shared" si="72"/>
        <v>127</v>
      </c>
      <c r="AM202" s="117">
        <f t="shared" si="73"/>
        <v>-101600000</v>
      </c>
      <c r="AN202" s="20"/>
    </row>
    <row r="203" spans="15:45">
      <c r="P203" s="114"/>
      <c r="Q203" s="213" t="s">
        <v>4811</v>
      </c>
      <c r="R203" s="213" t="s">
        <v>4805</v>
      </c>
      <c r="S203" s="113">
        <v>-900000</v>
      </c>
      <c r="T203" s="213" t="s">
        <v>4665</v>
      </c>
      <c r="U203" s="213">
        <v>8991</v>
      </c>
      <c r="V203" s="113">
        <v>238.64867000000001</v>
      </c>
      <c r="W203" s="113">
        <f t="shared" si="63"/>
        <v>2145690.19197</v>
      </c>
      <c r="X203" s="99" t="s">
        <v>452</v>
      </c>
      <c r="Y203" s="122" t="s">
        <v>25</v>
      </c>
      <c r="AH203" s="99">
        <v>183</v>
      </c>
      <c r="AI203" s="113" t="s">
        <v>5253</v>
      </c>
      <c r="AJ203" s="113">
        <v>50000</v>
      </c>
      <c r="AK203" s="99">
        <v>2</v>
      </c>
      <c r="AL203" s="20">
        <f t="shared" si="72"/>
        <v>120</v>
      </c>
      <c r="AM203" s="117">
        <f t="shared" si="73"/>
        <v>6000000</v>
      </c>
      <c r="AN203" s="20"/>
    </row>
    <row r="204" spans="15:45">
      <c r="Q204" s="213" t="s">
        <v>4811</v>
      </c>
      <c r="R204" s="213" t="s">
        <v>978</v>
      </c>
      <c r="S204" s="113">
        <v>-1100000</v>
      </c>
      <c r="T204" s="213" t="s">
        <v>4676</v>
      </c>
      <c r="U204" s="213">
        <v>18170</v>
      </c>
      <c r="V204" s="113">
        <v>240.48475999999999</v>
      </c>
      <c r="W204" s="113">
        <f t="shared" si="63"/>
        <v>4369608.0892000003</v>
      </c>
      <c r="X204" s="99" t="s">
        <v>749</v>
      </c>
      <c r="AH204" s="99">
        <v>184</v>
      </c>
      <c r="AI204" s="113" t="s">
        <v>5255</v>
      </c>
      <c r="AJ204" s="113">
        <v>400000</v>
      </c>
      <c r="AK204" s="99">
        <v>8</v>
      </c>
      <c r="AL204" s="20">
        <f t="shared" ref="AL204:AL213" si="74">AL205+AK204</f>
        <v>118</v>
      </c>
      <c r="AM204" s="117">
        <f t="shared" ref="AM204:AM213" si="75">AJ204*AL204</f>
        <v>47200000</v>
      </c>
      <c r="AN204" s="20"/>
      <c r="AR204" t="s">
        <v>25</v>
      </c>
    </row>
    <row r="205" spans="15:45">
      <c r="P205" s="114"/>
      <c r="Q205" s="190" t="s">
        <v>1083</v>
      </c>
      <c r="R205" s="190" t="s">
        <v>4834</v>
      </c>
      <c r="S205" s="196">
        <v>30000000</v>
      </c>
      <c r="T205" s="213" t="s">
        <v>4676</v>
      </c>
      <c r="U205" s="213">
        <v>18170</v>
      </c>
      <c r="V205" s="113">
        <v>240.48475999999999</v>
      </c>
      <c r="W205" s="113">
        <f t="shared" si="63"/>
        <v>4369608.0892000003</v>
      </c>
      <c r="X205" s="99" t="s">
        <v>452</v>
      </c>
      <c r="Y205" t="s">
        <v>25</v>
      </c>
      <c r="AH205" s="99">
        <v>185</v>
      </c>
      <c r="AI205" s="113" t="s">
        <v>5228</v>
      </c>
      <c r="AJ205" s="113">
        <v>-10000000</v>
      </c>
      <c r="AK205" s="99">
        <v>0</v>
      </c>
      <c r="AL205" s="20">
        <f t="shared" si="74"/>
        <v>110</v>
      </c>
      <c r="AM205" s="117">
        <f t="shared" si="75"/>
        <v>-1100000000</v>
      </c>
      <c r="AN205" s="20" t="s">
        <v>5061</v>
      </c>
    </row>
    <row r="206" spans="15:45">
      <c r="P206" s="114"/>
      <c r="Q206" s="19" t="s">
        <v>4918</v>
      </c>
      <c r="R206" s="19" t="s">
        <v>4916</v>
      </c>
      <c r="S206" s="117">
        <v>2000000</v>
      </c>
      <c r="T206" s="213" t="s">
        <v>4678</v>
      </c>
      <c r="U206" s="213">
        <v>36797</v>
      </c>
      <c r="V206" s="113">
        <v>239.0822</v>
      </c>
      <c r="W206" s="113">
        <f t="shared" si="63"/>
        <v>8797507.7134000007</v>
      </c>
      <c r="X206" s="99" t="s">
        <v>749</v>
      </c>
      <c r="AH206" s="99">
        <v>186</v>
      </c>
      <c r="AI206" s="113" t="s">
        <v>5228</v>
      </c>
      <c r="AJ206" s="113">
        <v>3000000</v>
      </c>
      <c r="AK206" s="99">
        <v>1</v>
      </c>
      <c r="AL206" s="20">
        <f t="shared" si="74"/>
        <v>110</v>
      </c>
      <c r="AM206" s="117">
        <f t="shared" si="75"/>
        <v>330000000</v>
      </c>
      <c r="AN206" s="20"/>
    </row>
    <row r="207" spans="15:45">
      <c r="Q207" s="189" t="s">
        <v>4943</v>
      </c>
      <c r="R207" s="189" t="s">
        <v>4942</v>
      </c>
      <c r="S207" s="188">
        <v>480105</v>
      </c>
      <c r="T207" s="213" t="s">
        <v>4678</v>
      </c>
      <c r="U207" s="213">
        <v>36797</v>
      </c>
      <c r="V207" s="113">
        <v>239.0822</v>
      </c>
      <c r="W207" s="113">
        <f t="shared" si="63"/>
        <v>8797507.7134000007</v>
      </c>
      <c r="X207" s="99" t="s">
        <v>452</v>
      </c>
      <c r="AH207" s="99">
        <v>187</v>
      </c>
      <c r="AI207" s="113" t="s">
        <v>5269</v>
      </c>
      <c r="AJ207" s="113">
        <v>500000</v>
      </c>
      <c r="AK207" s="99">
        <v>23</v>
      </c>
      <c r="AL207" s="20">
        <f t="shared" si="74"/>
        <v>109</v>
      </c>
      <c r="AM207" s="117">
        <f t="shared" si="75"/>
        <v>54500000</v>
      </c>
      <c r="AN207" s="20"/>
      <c r="AR207" t="s">
        <v>25</v>
      </c>
    </row>
    <row r="208" spans="15:45">
      <c r="P208" s="114"/>
      <c r="Q208" s="189"/>
      <c r="R208" s="189" t="s">
        <v>4995</v>
      </c>
      <c r="S208" s="188">
        <v>30500000</v>
      </c>
      <c r="T208" s="213" t="s">
        <v>4687</v>
      </c>
      <c r="U208" s="213">
        <v>28066</v>
      </c>
      <c r="V208" s="113">
        <v>237.56970000000001</v>
      </c>
      <c r="W208" s="113">
        <f t="shared" si="63"/>
        <v>6667631.2002000008</v>
      </c>
      <c r="X208" s="99" t="s">
        <v>749</v>
      </c>
      <c r="AH208" s="99">
        <v>188</v>
      </c>
      <c r="AI208" s="113" t="s">
        <v>5293</v>
      </c>
      <c r="AJ208" s="113">
        <v>101268</v>
      </c>
      <c r="AK208" s="99">
        <v>1</v>
      </c>
      <c r="AL208" s="20">
        <f t="shared" si="74"/>
        <v>86</v>
      </c>
      <c r="AM208" s="117">
        <f t="shared" si="75"/>
        <v>8709048</v>
      </c>
      <c r="AN208" s="20"/>
      <c r="AR208" t="s">
        <v>25</v>
      </c>
    </row>
    <row r="209" spans="16:46">
      <c r="P209" s="114"/>
      <c r="Q209" s="19" t="s">
        <v>5035</v>
      </c>
      <c r="R209" s="19" t="s">
        <v>5030</v>
      </c>
      <c r="S209" s="117">
        <v>-400000</v>
      </c>
      <c r="T209" s="213" t="s">
        <v>4687</v>
      </c>
      <c r="U209" s="213">
        <v>28066</v>
      </c>
      <c r="V209" s="113">
        <v>237.56970000000001</v>
      </c>
      <c r="W209" s="113">
        <f t="shared" si="63"/>
        <v>6667631.2002000008</v>
      </c>
      <c r="X209" s="99" t="s">
        <v>452</v>
      </c>
      <c r="AH209" s="99">
        <v>189</v>
      </c>
      <c r="AI209" s="113" t="s">
        <v>5296</v>
      </c>
      <c r="AJ209" s="113">
        <v>101000</v>
      </c>
      <c r="AK209" s="99">
        <v>34</v>
      </c>
      <c r="AL209" s="20">
        <f t="shared" si="74"/>
        <v>85</v>
      </c>
      <c r="AM209" s="117">
        <f t="shared" si="75"/>
        <v>8585000</v>
      </c>
      <c r="AN209" s="20"/>
      <c r="AP209" t="s">
        <v>25</v>
      </c>
      <c r="AT209" s="96" t="s">
        <v>25</v>
      </c>
    </row>
    <row r="210" spans="16:46">
      <c r="Q210" s="189" t="s">
        <v>5150</v>
      </c>
      <c r="R210" s="189" t="s">
        <v>5066</v>
      </c>
      <c r="S210" s="188">
        <v>-349550</v>
      </c>
      <c r="T210" s="213" t="s">
        <v>3680</v>
      </c>
      <c r="U210" s="213">
        <v>37457</v>
      </c>
      <c r="V210" s="113">
        <v>239.77</v>
      </c>
      <c r="W210" s="113">
        <f t="shared" si="63"/>
        <v>8981064.8900000006</v>
      </c>
      <c r="X210" s="99" t="s">
        <v>749</v>
      </c>
      <c r="Y210" s="8" t="s">
        <v>25</v>
      </c>
      <c r="Z210" t="s">
        <v>25</v>
      </c>
      <c r="AH210" s="99">
        <v>190</v>
      </c>
      <c r="AI210" s="113" t="s">
        <v>5321</v>
      </c>
      <c r="AJ210" s="113">
        <v>-488602</v>
      </c>
      <c r="AK210" s="99">
        <v>5</v>
      </c>
      <c r="AL210" s="20">
        <f t="shared" si="74"/>
        <v>51</v>
      </c>
      <c r="AM210" s="117">
        <f t="shared" si="75"/>
        <v>-24918702</v>
      </c>
      <c r="AN210" s="20"/>
      <c r="AR210" t="s">
        <v>25</v>
      </c>
    </row>
    <row r="211" spans="16:46">
      <c r="P211" s="114"/>
      <c r="Q211" s="189" t="s">
        <v>5180</v>
      </c>
      <c r="R211" s="189" t="s">
        <v>5177</v>
      </c>
      <c r="S211" s="188">
        <v>11500000</v>
      </c>
      <c r="T211" s="213" t="s">
        <v>3680</v>
      </c>
      <c r="U211" s="213">
        <v>37457</v>
      </c>
      <c r="V211" s="113">
        <v>239.77</v>
      </c>
      <c r="W211" s="113">
        <f t="shared" si="63"/>
        <v>8981064.8900000006</v>
      </c>
      <c r="X211" s="99" t="s">
        <v>452</v>
      </c>
      <c r="AH211" s="99">
        <v>191</v>
      </c>
      <c r="AI211" s="113" t="s">
        <v>5335</v>
      </c>
      <c r="AJ211" s="113">
        <v>360000</v>
      </c>
      <c r="AK211" s="99">
        <v>10</v>
      </c>
      <c r="AL211" s="20">
        <f t="shared" si="74"/>
        <v>46</v>
      </c>
      <c r="AM211" s="117">
        <f t="shared" si="75"/>
        <v>16560000</v>
      </c>
      <c r="AN211" s="20"/>
      <c r="AR211" t="s">
        <v>25</v>
      </c>
    </row>
    <row r="212" spans="16:46">
      <c r="Q212" s="189" t="s">
        <v>5209</v>
      </c>
      <c r="R212" s="189" t="s">
        <v>5208</v>
      </c>
      <c r="S212" s="188">
        <v>6000000</v>
      </c>
      <c r="T212" s="213" t="s">
        <v>4699</v>
      </c>
      <c r="U212" s="213">
        <v>38412</v>
      </c>
      <c r="V212" s="113">
        <v>239.03</v>
      </c>
      <c r="W212" s="113">
        <f t="shared" si="63"/>
        <v>9181620.3599999994</v>
      </c>
      <c r="X212" s="99" t="s">
        <v>749</v>
      </c>
      <c r="AH212" s="99">
        <v>192</v>
      </c>
      <c r="AI212" s="113" t="s">
        <v>5347</v>
      </c>
      <c r="AJ212" s="113">
        <v>-3600000</v>
      </c>
      <c r="AK212" s="99">
        <v>4</v>
      </c>
      <c r="AL212" s="20">
        <f t="shared" si="74"/>
        <v>36</v>
      </c>
      <c r="AM212" s="117">
        <f t="shared" si="75"/>
        <v>-129600000</v>
      </c>
      <c r="AN212" s="20"/>
      <c r="AS212" t="s">
        <v>25</v>
      </c>
    </row>
    <row r="213" spans="16:46">
      <c r="P213" t="s">
        <v>25</v>
      </c>
      <c r="Q213" s="189" t="s">
        <v>5211</v>
      </c>
      <c r="R213" s="189" t="s">
        <v>5210</v>
      </c>
      <c r="S213" s="188">
        <v>1500000</v>
      </c>
      <c r="T213" s="213" t="s">
        <v>4699</v>
      </c>
      <c r="U213" s="213">
        <v>38412</v>
      </c>
      <c r="V213" s="113">
        <v>239.03</v>
      </c>
      <c r="W213" s="113">
        <f t="shared" si="63"/>
        <v>9181620.3599999994</v>
      </c>
      <c r="X213" s="99" t="s">
        <v>452</v>
      </c>
      <c r="AH213" s="99">
        <v>193</v>
      </c>
      <c r="AI213" s="113" t="s">
        <v>5357</v>
      </c>
      <c r="AJ213" s="113">
        <v>-1000000</v>
      </c>
      <c r="AK213" s="99">
        <v>5</v>
      </c>
      <c r="AL213" s="20">
        <f t="shared" si="74"/>
        <v>32</v>
      </c>
      <c r="AM213" s="117">
        <f t="shared" si="75"/>
        <v>-32000000</v>
      </c>
      <c r="AN213" s="20"/>
      <c r="AR213" t="s">
        <v>25</v>
      </c>
    </row>
    <row r="214" spans="16:46">
      <c r="Q214" s="19" t="s">
        <v>5035</v>
      </c>
      <c r="R214" s="19" t="s">
        <v>5218</v>
      </c>
      <c r="S214" s="117">
        <v>-200000</v>
      </c>
      <c r="T214" s="213" t="s">
        <v>4702</v>
      </c>
      <c r="U214" s="213">
        <v>49555</v>
      </c>
      <c r="V214" s="113">
        <v>238.345</v>
      </c>
      <c r="W214" s="113">
        <f t="shared" si="63"/>
        <v>11811186.475</v>
      </c>
      <c r="X214" s="99" t="s">
        <v>749</v>
      </c>
      <c r="AH214" s="99">
        <v>194</v>
      </c>
      <c r="AI214" s="113" t="s">
        <v>5363</v>
      </c>
      <c r="AJ214" s="113">
        <v>360000</v>
      </c>
      <c r="AK214" s="99">
        <v>2</v>
      </c>
      <c r="AL214" s="20">
        <f t="shared" ref="AL214:AL218" si="76">AL215+AK214</f>
        <v>27</v>
      </c>
      <c r="AM214" s="117">
        <f t="shared" ref="AM214:AM219" si="77">AJ214*AL214</f>
        <v>9720000</v>
      </c>
      <c r="AN214" s="20"/>
      <c r="AQ214" t="s">
        <v>25</v>
      </c>
    </row>
    <row r="215" spans="16:46">
      <c r="P215" s="114"/>
      <c r="Q215" s="190" t="s">
        <v>5239</v>
      </c>
      <c r="R215" s="190" t="s">
        <v>5238</v>
      </c>
      <c r="S215" s="196">
        <v>1000000</v>
      </c>
      <c r="T215" s="213" t="s">
        <v>4702</v>
      </c>
      <c r="U215" s="213">
        <v>49555</v>
      </c>
      <c r="V215" s="113">
        <v>238.345</v>
      </c>
      <c r="W215" s="113">
        <f t="shared" si="63"/>
        <v>11811186.475</v>
      </c>
      <c r="X215" s="99" t="s">
        <v>452</v>
      </c>
      <c r="AH215" s="99">
        <v>195</v>
      </c>
      <c r="AI215" s="113" t="s">
        <v>5368</v>
      </c>
      <c r="AJ215" s="113">
        <v>2000000</v>
      </c>
      <c r="AK215" s="99">
        <v>1</v>
      </c>
      <c r="AL215" s="20">
        <f t="shared" si="76"/>
        <v>25</v>
      </c>
      <c r="AM215" s="117">
        <f t="shared" si="77"/>
        <v>50000000</v>
      </c>
      <c r="AN215" s="20"/>
    </row>
    <row r="216" spans="16:46">
      <c r="P216" s="114"/>
      <c r="Q216" s="19" t="s">
        <v>5035</v>
      </c>
      <c r="R216" s="19" t="s">
        <v>5253</v>
      </c>
      <c r="S216" s="117">
        <v>-122000</v>
      </c>
      <c r="T216" s="213" t="s">
        <v>4716</v>
      </c>
      <c r="U216" s="213">
        <v>160187</v>
      </c>
      <c r="V216" s="113">
        <v>257.49799999999999</v>
      </c>
      <c r="W216" s="113">
        <f t="shared" si="63"/>
        <v>41247832.126000002</v>
      </c>
      <c r="X216" s="99" t="s">
        <v>749</v>
      </c>
      <c r="AH216" s="99">
        <v>196</v>
      </c>
      <c r="AI216" s="113" t="s">
        <v>5372</v>
      </c>
      <c r="AJ216" s="113">
        <v>20000000</v>
      </c>
      <c r="AK216" s="99">
        <v>0</v>
      </c>
      <c r="AL216" s="20">
        <f t="shared" si="76"/>
        <v>24</v>
      </c>
      <c r="AM216" s="117">
        <f t="shared" si="77"/>
        <v>480000000</v>
      </c>
      <c r="AN216" s="20" t="s">
        <v>4731</v>
      </c>
      <c r="AR216" t="s">
        <v>25</v>
      </c>
    </row>
    <row r="217" spans="16:46">
      <c r="P217" s="114"/>
      <c r="Q217" s="19" t="s">
        <v>5035</v>
      </c>
      <c r="R217" s="19" t="s">
        <v>5261</v>
      </c>
      <c r="S217" s="117">
        <v>-700000</v>
      </c>
      <c r="T217" s="213" t="s">
        <v>4716</v>
      </c>
      <c r="U217" s="213">
        <v>160187</v>
      </c>
      <c r="V217" s="113">
        <v>257.49799999999999</v>
      </c>
      <c r="W217" s="113">
        <f t="shared" si="63"/>
        <v>41247832.126000002</v>
      </c>
      <c r="X217" s="99" t="s">
        <v>452</v>
      </c>
      <c r="AH217" s="99">
        <v>197</v>
      </c>
      <c r="AI217" s="113" t="s">
        <v>5372</v>
      </c>
      <c r="AJ217" s="113">
        <v>-4700000</v>
      </c>
      <c r="AK217" s="99">
        <v>1</v>
      </c>
      <c r="AL217" s="20">
        <f t="shared" si="76"/>
        <v>24</v>
      </c>
      <c r="AM217" s="117">
        <f t="shared" si="77"/>
        <v>-112800000</v>
      </c>
      <c r="AN217" s="20"/>
    </row>
    <row r="218" spans="16:46">
      <c r="P218" s="114"/>
      <c r="Q218" s="19" t="s">
        <v>5035</v>
      </c>
      <c r="R218" s="19" t="s">
        <v>5273</v>
      </c>
      <c r="S218" s="117">
        <v>-60000</v>
      </c>
      <c r="T218" s="213" t="s">
        <v>4723</v>
      </c>
      <c r="U218" s="213">
        <v>144401</v>
      </c>
      <c r="V218" s="113">
        <v>258.5061</v>
      </c>
      <c r="W218" s="113">
        <f t="shared" si="63"/>
        <v>37328539.346100003</v>
      </c>
      <c r="X218" s="99" t="s">
        <v>749</v>
      </c>
      <c r="AH218" s="99">
        <v>198</v>
      </c>
      <c r="AI218" s="113" t="s">
        <v>5377</v>
      </c>
      <c r="AJ218" s="113">
        <v>3000000</v>
      </c>
      <c r="AK218" s="99">
        <v>4</v>
      </c>
      <c r="AL218" s="20">
        <f t="shared" si="76"/>
        <v>23</v>
      </c>
      <c r="AM218" s="117">
        <f t="shared" si="77"/>
        <v>69000000</v>
      </c>
      <c r="AN218" s="20"/>
      <c r="AS218" t="s">
        <v>25</v>
      </c>
    </row>
    <row r="219" spans="16:46">
      <c r="P219" s="114"/>
      <c r="Q219" s="19" t="s">
        <v>4435</v>
      </c>
      <c r="R219" s="19" t="s">
        <v>5335</v>
      </c>
      <c r="S219" s="117">
        <v>700000</v>
      </c>
      <c r="T219" s="213" t="s">
        <v>4723</v>
      </c>
      <c r="U219" s="213">
        <v>144401</v>
      </c>
      <c r="V219" s="113">
        <v>258.5061</v>
      </c>
      <c r="W219" s="113">
        <f t="shared" si="63"/>
        <v>37328539.346100003</v>
      </c>
      <c r="X219" s="99" t="s">
        <v>452</v>
      </c>
      <c r="AH219" s="99">
        <v>199</v>
      </c>
      <c r="AI219" s="113" t="s">
        <v>5380</v>
      </c>
      <c r="AJ219" s="113">
        <v>1500000</v>
      </c>
      <c r="AK219" s="99">
        <v>1</v>
      </c>
      <c r="AL219" s="20">
        <f>AL226+AK219</f>
        <v>19</v>
      </c>
      <c r="AM219" s="117">
        <f t="shared" si="77"/>
        <v>28500000</v>
      </c>
      <c r="AN219" s="20"/>
    </row>
    <row r="220" spans="16:46">
      <c r="P220" s="114"/>
      <c r="Q220" s="189" t="s">
        <v>5345</v>
      </c>
      <c r="R220" s="189" t="s">
        <v>5344</v>
      </c>
      <c r="S220" s="188">
        <v>-2000000</v>
      </c>
      <c r="T220" s="168" t="s">
        <v>4729</v>
      </c>
      <c r="U220" s="168">
        <v>196500</v>
      </c>
      <c r="V220" s="113">
        <v>254.452</v>
      </c>
      <c r="W220" s="113">
        <f t="shared" si="63"/>
        <v>49999818</v>
      </c>
      <c r="X220" s="99" t="s">
        <v>4733</v>
      </c>
      <c r="AH220" s="99">
        <v>200</v>
      </c>
      <c r="AI220" s="113" t="s">
        <v>5383</v>
      </c>
      <c r="AJ220" s="113">
        <v>30000000</v>
      </c>
      <c r="AK220" s="99">
        <v>33</v>
      </c>
      <c r="AL220" s="20">
        <f t="shared" ref="AL220:AL225" si="78">AL232+AK220</f>
        <v>33</v>
      </c>
      <c r="AM220" s="117">
        <f t="shared" ref="AM220:AM221" si="79">AJ220*AL220</f>
        <v>990000000</v>
      </c>
      <c r="AN220" s="20"/>
    </row>
    <row r="221" spans="16:46">
      <c r="P221" s="114"/>
      <c r="Q221" s="189" t="s">
        <v>5353</v>
      </c>
      <c r="R221" s="189" t="s">
        <v>5347</v>
      </c>
      <c r="S221" s="188">
        <v>2000000</v>
      </c>
      <c r="T221" s="213" t="s">
        <v>4729</v>
      </c>
      <c r="U221" s="213">
        <v>2561</v>
      </c>
      <c r="V221" s="113">
        <v>254.536</v>
      </c>
      <c r="W221" s="113">
        <f t="shared" si="63"/>
        <v>651866.696</v>
      </c>
      <c r="X221" s="99" t="s">
        <v>4734</v>
      </c>
      <c r="AH221" s="99">
        <v>201</v>
      </c>
      <c r="AI221" s="113" t="s">
        <v>5464</v>
      </c>
      <c r="AJ221" s="113">
        <v>3000000</v>
      </c>
      <c r="AK221" s="99">
        <v>1</v>
      </c>
      <c r="AL221" s="20">
        <f t="shared" si="78"/>
        <v>1</v>
      </c>
      <c r="AM221" s="117">
        <f t="shared" si="79"/>
        <v>3000000</v>
      </c>
      <c r="AN221" s="20"/>
    </row>
    <row r="222" spans="16:46">
      <c r="P222" s="114"/>
      <c r="Q222" s="189" t="s">
        <v>1083</v>
      </c>
      <c r="R222" s="189" t="s">
        <v>5360</v>
      </c>
      <c r="S222" s="188">
        <v>40000000</v>
      </c>
      <c r="T222" s="213" t="s">
        <v>4777</v>
      </c>
      <c r="U222" s="213">
        <v>-11795</v>
      </c>
      <c r="V222" s="113">
        <v>254.334</v>
      </c>
      <c r="W222" s="113">
        <f t="shared" si="63"/>
        <v>-2999869.5300000003</v>
      </c>
      <c r="X222" s="99" t="s">
        <v>4778</v>
      </c>
      <c r="AH222" s="99">
        <v>202</v>
      </c>
      <c r="AI222" s="113" t="s">
        <v>5465</v>
      </c>
      <c r="AJ222" s="113">
        <v>7000000</v>
      </c>
      <c r="AK222" s="99">
        <v>4</v>
      </c>
      <c r="AL222" s="20">
        <f t="shared" si="78"/>
        <v>4</v>
      </c>
      <c r="AM222" s="117">
        <f t="shared" ref="AM222:AM225" si="80">AJ222*AL222</f>
        <v>28000000</v>
      </c>
      <c r="AN222" s="20"/>
    </row>
    <row r="223" spans="16:46">
      <c r="P223" s="114"/>
      <c r="Q223" s="19" t="s">
        <v>4435</v>
      </c>
      <c r="R223" s="19" t="s">
        <v>5365</v>
      </c>
      <c r="S223" s="117">
        <v>-800000</v>
      </c>
      <c r="T223" s="213" t="s">
        <v>4777</v>
      </c>
      <c r="U223" s="213">
        <v>11795</v>
      </c>
      <c r="V223" s="113">
        <v>254.334</v>
      </c>
      <c r="W223" s="113">
        <f t="shared" si="63"/>
        <v>2999869.5300000003</v>
      </c>
      <c r="X223" s="99" t="s">
        <v>4779</v>
      </c>
      <c r="AH223" s="99">
        <v>203</v>
      </c>
      <c r="AI223" s="113" t="s">
        <v>5478</v>
      </c>
      <c r="AJ223" s="113">
        <v>8800000</v>
      </c>
      <c r="AK223" s="99">
        <v>2</v>
      </c>
      <c r="AL223" s="20">
        <f t="shared" si="78"/>
        <v>2</v>
      </c>
      <c r="AM223" s="117">
        <f t="shared" si="80"/>
        <v>17600000</v>
      </c>
      <c r="AN223" s="20"/>
    </row>
    <row r="224" spans="16:46">
      <c r="Q224" s="213" t="s">
        <v>4435</v>
      </c>
      <c r="R224" s="213" t="s">
        <v>5460</v>
      </c>
      <c r="S224" s="117">
        <v>700000</v>
      </c>
      <c r="T224" s="213" t="s">
        <v>4791</v>
      </c>
      <c r="U224" s="213">
        <v>260</v>
      </c>
      <c r="V224" s="113">
        <v>263.19</v>
      </c>
      <c r="W224" s="113">
        <f t="shared" si="63"/>
        <v>68429.399999999994</v>
      </c>
      <c r="X224" s="99" t="s">
        <v>452</v>
      </c>
      <c r="Z224" t="s">
        <v>25</v>
      </c>
      <c r="AH224" s="99">
        <v>204</v>
      </c>
      <c r="AI224" s="113" t="s">
        <v>5485</v>
      </c>
      <c r="AJ224" s="113">
        <v>40000000</v>
      </c>
      <c r="AK224" s="99">
        <v>8</v>
      </c>
      <c r="AL224" s="20">
        <f t="shared" si="78"/>
        <v>8</v>
      </c>
      <c r="AM224" s="117">
        <f t="shared" si="80"/>
        <v>320000000</v>
      </c>
      <c r="AN224" s="20" t="s">
        <v>4731</v>
      </c>
      <c r="AS224" t="s">
        <v>25</v>
      </c>
    </row>
    <row r="225" spans="16:45">
      <c r="Q225" s="189" t="s">
        <v>5481</v>
      </c>
      <c r="R225" s="189" t="s">
        <v>5479</v>
      </c>
      <c r="S225" s="188">
        <v>-26000000</v>
      </c>
      <c r="T225" s="213" t="s">
        <v>4800</v>
      </c>
      <c r="U225" s="213">
        <v>15257</v>
      </c>
      <c r="V225" s="113">
        <v>262.19018</v>
      </c>
      <c r="W225" s="113">
        <f t="shared" si="63"/>
        <v>4000235.57626</v>
      </c>
      <c r="X225" s="99" t="s">
        <v>452</v>
      </c>
      <c r="AH225" s="99">
        <v>205</v>
      </c>
      <c r="AI225" s="113" t="s">
        <v>5502</v>
      </c>
      <c r="AJ225" s="113">
        <v>400000</v>
      </c>
      <c r="AK225" s="99">
        <v>17</v>
      </c>
      <c r="AL225" s="20">
        <f t="shared" si="78"/>
        <v>17</v>
      </c>
      <c r="AM225" s="117">
        <f t="shared" si="80"/>
        <v>6800000</v>
      </c>
      <c r="AN225" s="20"/>
      <c r="AR225" t="s">
        <v>25</v>
      </c>
    </row>
    <row r="226" spans="16:45">
      <c r="P226" s="114" t="s">
        <v>25</v>
      </c>
      <c r="Q226" s="189" t="s">
        <v>5481</v>
      </c>
      <c r="R226" s="189" t="s">
        <v>5485</v>
      </c>
      <c r="S226" s="188">
        <v>-95900000</v>
      </c>
      <c r="T226" s="213" t="s">
        <v>4800</v>
      </c>
      <c r="U226" s="213">
        <v>8444</v>
      </c>
      <c r="V226" s="113">
        <v>266.43029999999999</v>
      </c>
      <c r="W226" s="113">
        <f t="shared" si="63"/>
        <v>2249737.4531999999</v>
      </c>
      <c r="X226" s="99" t="s">
        <v>452</v>
      </c>
      <c r="Y226" t="s">
        <v>25</v>
      </c>
      <c r="AH226" s="99">
        <v>206</v>
      </c>
      <c r="AI226" s="113" t="s">
        <v>5525</v>
      </c>
      <c r="AJ226" s="113">
        <v>-20000000</v>
      </c>
      <c r="AK226" s="99">
        <v>18</v>
      </c>
      <c r="AL226" s="20">
        <f t="shared" ref="AL226:AL232" si="81">AL238+AK226</f>
        <v>18</v>
      </c>
      <c r="AM226" s="117">
        <f t="shared" ref="AM226:AM232" si="82">AJ226*AL226</f>
        <v>-360000000</v>
      </c>
      <c r="AN226" s="20" t="s">
        <v>5061</v>
      </c>
    </row>
    <row r="227" spans="16:45">
      <c r="P227" s="114"/>
      <c r="Q227" s="189" t="s">
        <v>5481</v>
      </c>
      <c r="R227" s="189" t="s">
        <v>5486</v>
      </c>
      <c r="S227" s="188">
        <v>-28950000</v>
      </c>
      <c r="T227" s="213" t="s">
        <v>4805</v>
      </c>
      <c r="U227" s="213">
        <v>-6209</v>
      </c>
      <c r="V227" s="113">
        <v>273.79649999999998</v>
      </c>
      <c r="W227" s="113">
        <f t="shared" si="63"/>
        <v>-1700002.4685</v>
      </c>
      <c r="X227" s="99" t="s">
        <v>4816</v>
      </c>
      <c r="AH227" s="99">
        <v>207</v>
      </c>
      <c r="AI227" s="113" t="s">
        <v>5552</v>
      </c>
      <c r="AJ227" s="113">
        <v>3006000</v>
      </c>
      <c r="AK227" s="99">
        <v>1</v>
      </c>
      <c r="AL227" s="20">
        <f t="shared" si="81"/>
        <v>1</v>
      </c>
      <c r="AM227" s="117">
        <f t="shared" si="82"/>
        <v>3006000</v>
      </c>
      <c r="AN227" s="20"/>
    </row>
    <row r="228" spans="16:45">
      <c r="Q228" s="172" t="s">
        <v>5498</v>
      </c>
      <c r="R228" s="172" t="s">
        <v>5496</v>
      </c>
      <c r="S228" s="170">
        <v>2000000</v>
      </c>
      <c r="T228" s="213" t="s">
        <v>4805</v>
      </c>
      <c r="U228" s="213">
        <v>-8014</v>
      </c>
      <c r="V228" s="113">
        <v>273.79649999999998</v>
      </c>
      <c r="W228" s="113">
        <f t="shared" si="63"/>
        <v>-2194205.1510000001</v>
      </c>
      <c r="X228" s="99" t="s">
        <v>749</v>
      </c>
      <c r="Y228" s="96"/>
      <c r="AH228" s="99"/>
      <c r="AI228" s="113"/>
      <c r="AJ228" s="113"/>
      <c r="AK228" s="99"/>
      <c r="AL228" s="20">
        <f t="shared" si="81"/>
        <v>0</v>
      </c>
      <c r="AM228" s="117">
        <f t="shared" si="82"/>
        <v>0</v>
      </c>
      <c r="AN228" s="20"/>
      <c r="AR228" t="s">
        <v>25</v>
      </c>
    </row>
    <row r="229" spans="16:45">
      <c r="Q229" s="213" t="s">
        <v>5504</v>
      </c>
      <c r="R229" s="213" t="s">
        <v>5502</v>
      </c>
      <c r="S229" s="113">
        <v>1896188</v>
      </c>
      <c r="T229" s="213" t="s">
        <v>4814</v>
      </c>
      <c r="U229" s="213">
        <v>-9176</v>
      </c>
      <c r="V229" s="113">
        <v>273.79649999999998</v>
      </c>
      <c r="W229" s="113">
        <f t="shared" si="63"/>
        <v>-2512356.6839999999</v>
      </c>
      <c r="X229" s="99" t="s">
        <v>452</v>
      </c>
      <c r="Y229" t="s">
        <v>25</v>
      </c>
      <c r="AH229" s="99"/>
      <c r="AI229" s="113"/>
      <c r="AJ229" s="113"/>
      <c r="AK229" s="99"/>
      <c r="AL229" s="20">
        <f t="shared" si="81"/>
        <v>0</v>
      </c>
      <c r="AM229" s="117">
        <f t="shared" si="82"/>
        <v>0</v>
      </c>
      <c r="AN229" s="20"/>
    </row>
    <row r="230" spans="16:45">
      <c r="Q230" s="213"/>
      <c r="R230" s="213"/>
      <c r="S230" s="113"/>
      <c r="T230" s="213" t="s">
        <v>4814</v>
      </c>
      <c r="U230" s="213">
        <v>1087</v>
      </c>
      <c r="V230" s="113">
        <v>273.79649999999998</v>
      </c>
      <c r="W230" s="113">
        <f t="shared" si="63"/>
        <v>297616.79550000001</v>
      </c>
      <c r="X230" s="99" t="s">
        <v>452</v>
      </c>
      <c r="AH230" s="99"/>
      <c r="AI230" s="113"/>
      <c r="AJ230" s="113"/>
      <c r="AK230" s="99"/>
      <c r="AL230" s="20">
        <f t="shared" si="81"/>
        <v>0</v>
      </c>
      <c r="AM230" s="117">
        <f t="shared" si="82"/>
        <v>0</v>
      </c>
      <c r="AN230" s="20"/>
      <c r="AQ230" t="s">
        <v>25</v>
      </c>
      <c r="AS230" t="s">
        <v>25</v>
      </c>
    </row>
    <row r="231" spans="16:45">
      <c r="Q231" s="213"/>
      <c r="R231" s="213"/>
      <c r="S231" s="113">
        <f>SUM(S196:S229)</f>
        <v>-14005257</v>
      </c>
      <c r="T231" s="213" t="s">
        <v>978</v>
      </c>
      <c r="U231" s="213">
        <v>-4017</v>
      </c>
      <c r="V231" s="113">
        <v>273.79649999999998</v>
      </c>
      <c r="W231" s="113">
        <f t="shared" si="63"/>
        <v>-1099840.5404999999</v>
      </c>
      <c r="X231" s="99" t="s">
        <v>4435</v>
      </c>
      <c r="AH231" s="99"/>
      <c r="AI231" s="113"/>
      <c r="AJ231" s="113"/>
      <c r="AK231" s="99"/>
      <c r="AL231" s="20">
        <f t="shared" si="81"/>
        <v>0</v>
      </c>
      <c r="AM231" s="117">
        <f t="shared" si="82"/>
        <v>0</v>
      </c>
      <c r="AN231" s="20"/>
      <c r="AR231" t="s">
        <v>25</v>
      </c>
      <c r="AS231" t="s">
        <v>25</v>
      </c>
    </row>
    <row r="232" spans="16:45">
      <c r="Q232" s="41"/>
      <c r="R232" s="213"/>
      <c r="S232" s="213" t="s">
        <v>6</v>
      </c>
      <c r="T232" s="213" t="s">
        <v>978</v>
      </c>
      <c r="U232" s="213">
        <v>4017</v>
      </c>
      <c r="V232" s="113">
        <v>273.79649999999998</v>
      </c>
      <c r="W232" s="113">
        <f t="shared" si="63"/>
        <v>1099840.5404999999</v>
      </c>
      <c r="X232" s="99" t="s">
        <v>452</v>
      </c>
      <c r="AH232" s="99"/>
      <c r="AI232" s="113"/>
      <c r="AJ232" s="113"/>
      <c r="AK232" s="99"/>
      <c r="AL232" s="20">
        <f t="shared" si="81"/>
        <v>0</v>
      </c>
      <c r="AM232" s="117">
        <f t="shared" si="82"/>
        <v>0</v>
      </c>
      <c r="AN232" s="20"/>
    </row>
    <row r="233" spans="16:45">
      <c r="Q233" s="96"/>
      <c r="T233" s="213" t="s">
        <v>4821</v>
      </c>
      <c r="U233" s="213">
        <v>3137</v>
      </c>
      <c r="V233" s="113">
        <v>283.69110000000001</v>
      </c>
      <c r="W233" s="113">
        <f t="shared" si="63"/>
        <v>889938.98070000007</v>
      </c>
      <c r="X233" s="99" t="s">
        <v>452</v>
      </c>
      <c r="Y233" t="s">
        <v>25</v>
      </c>
      <c r="AH233" s="99"/>
      <c r="AI233" s="113"/>
      <c r="AJ233" s="113"/>
      <c r="AK233" s="99"/>
      <c r="AL233" s="20">
        <f t="shared" si="70"/>
        <v>0</v>
      </c>
      <c r="AM233" s="117">
        <f t="shared" si="71"/>
        <v>0</v>
      </c>
      <c r="AN233" s="20"/>
    </row>
    <row r="234" spans="16:45">
      <c r="Q234" s="96"/>
      <c r="R234" s="96" t="s">
        <v>25</v>
      </c>
      <c r="T234" s="213" t="s">
        <v>4834</v>
      </c>
      <c r="U234" s="213">
        <v>101933</v>
      </c>
      <c r="V234" s="113">
        <v>294.30973999999998</v>
      </c>
      <c r="W234" s="113">
        <f t="shared" si="63"/>
        <v>29999874.727419998</v>
      </c>
      <c r="X234" s="99" t="s">
        <v>1083</v>
      </c>
      <c r="AH234" s="99"/>
      <c r="AI234" s="99"/>
      <c r="AJ234" s="95">
        <f>SUM(AJ20:AJ233)</f>
        <v>580669725</v>
      </c>
      <c r="AK234" s="99"/>
      <c r="AL234" s="99"/>
      <c r="AM234" s="95">
        <f>SUM(AM20:AM233)</f>
        <v>232554093158</v>
      </c>
      <c r="AN234" s="95">
        <f>AM234*AN237/31</f>
        <v>125031582.92465763</v>
      </c>
    </row>
    <row r="235" spans="16:45">
      <c r="Q235" s="96"/>
      <c r="R235" s="96" t="s">
        <v>25</v>
      </c>
      <c r="S235" t="s">
        <v>25</v>
      </c>
      <c r="T235" s="213" t="s">
        <v>4841</v>
      </c>
      <c r="U235" s="213">
        <v>3407</v>
      </c>
      <c r="V235" s="113">
        <v>293.43799999999999</v>
      </c>
      <c r="W235" s="113">
        <f t="shared" si="63"/>
        <v>999743.26599999995</v>
      </c>
      <c r="X235" s="99" t="s">
        <v>452</v>
      </c>
      <c r="Z235" t="s">
        <v>25</v>
      </c>
      <c r="AA235" t="s">
        <v>25</v>
      </c>
      <c r="AH235" s="99"/>
      <c r="AI235" s="99"/>
      <c r="AJ235" s="99" t="s">
        <v>4055</v>
      </c>
      <c r="AK235" s="99"/>
      <c r="AL235" s="99"/>
      <c r="AM235" s="99" t="s">
        <v>284</v>
      </c>
      <c r="AN235" s="99" t="s">
        <v>940</v>
      </c>
    </row>
    <row r="236" spans="16:45">
      <c r="S236" t="s">
        <v>25</v>
      </c>
      <c r="T236" s="213" t="s">
        <v>4842</v>
      </c>
      <c r="U236" s="213">
        <v>68796</v>
      </c>
      <c r="V236" s="113">
        <v>293.53250000000003</v>
      </c>
      <c r="W236" s="113">
        <f t="shared" si="63"/>
        <v>20193861.870000001</v>
      </c>
      <c r="X236" s="99" t="s">
        <v>749</v>
      </c>
      <c r="AH236" s="99"/>
      <c r="AI236" s="99"/>
      <c r="AJ236" s="99"/>
      <c r="AK236" s="99"/>
      <c r="AL236" s="99"/>
      <c r="AM236" s="99"/>
      <c r="AN236" s="99"/>
    </row>
    <row r="237" spans="16:45">
      <c r="Q237" s="99" t="s">
        <v>749</v>
      </c>
      <c r="R237" s="99"/>
      <c r="T237" s="213" t="s">
        <v>4842</v>
      </c>
      <c r="U237" s="213">
        <v>154791</v>
      </c>
      <c r="V237" s="113">
        <v>293.53250000000003</v>
      </c>
      <c r="W237" s="113">
        <f t="shared" si="63"/>
        <v>45436189.207500003</v>
      </c>
      <c r="X237" s="99" t="s">
        <v>452</v>
      </c>
      <c r="Y237" t="s">
        <v>25</v>
      </c>
      <c r="AH237" s="99"/>
      <c r="AI237" s="99"/>
      <c r="AJ237" s="99"/>
      <c r="AK237" s="99"/>
      <c r="AL237" s="99"/>
      <c r="AM237" s="99" t="s">
        <v>4056</v>
      </c>
      <c r="AN237" s="99">
        <v>1.6667000000000001E-2</v>
      </c>
      <c r="AS237" t="s">
        <v>25</v>
      </c>
    </row>
    <row r="238" spans="16:45">
      <c r="Q238" s="99" t="s">
        <v>4428</v>
      </c>
      <c r="R238" s="95">
        <v>172908000</v>
      </c>
      <c r="T238" s="213" t="s">
        <v>4842</v>
      </c>
      <c r="U238" s="213">
        <v>-11923</v>
      </c>
      <c r="V238" s="113">
        <v>293.53250000000003</v>
      </c>
      <c r="W238" s="113">
        <f t="shared" si="63"/>
        <v>-3499787.9975000005</v>
      </c>
      <c r="X238" s="99" t="s">
        <v>452</v>
      </c>
      <c r="AH238" s="99"/>
      <c r="AI238" s="99"/>
      <c r="AJ238" s="99"/>
      <c r="AK238" s="99"/>
      <c r="AL238" s="99"/>
      <c r="AM238" s="99"/>
      <c r="AN238" s="99"/>
      <c r="AR238" t="s">
        <v>25</v>
      </c>
    </row>
    <row r="239" spans="16:45">
      <c r="Q239" s="99" t="s">
        <v>4468</v>
      </c>
      <c r="R239" s="95">
        <v>1400000</v>
      </c>
      <c r="T239" s="213" t="s">
        <v>4855</v>
      </c>
      <c r="U239" s="213">
        <v>8424</v>
      </c>
      <c r="V239" s="113">
        <v>299.15170000000001</v>
      </c>
      <c r="W239" s="113">
        <f t="shared" si="63"/>
        <v>2520053.9208</v>
      </c>
      <c r="X239" s="99" t="s">
        <v>452</v>
      </c>
      <c r="AH239" s="99"/>
      <c r="AI239" s="99" t="s">
        <v>4057</v>
      </c>
      <c r="AJ239" s="95">
        <f>AJ234+AN234</f>
        <v>705701307.92465758</v>
      </c>
      <c r="AK239" s="99"/>
      <c r="AL239" s="99"/>
      <c r="AM239" s="99"/>
      <c r="AN239" s="99"/>
      <c r="AR239" t="s">
        <v>25</v>
      </c>
    </row>
    <row r="240" spans="16:45">
      <c r="Q240" s="99" t="s">
        <v>4222</v>
      </c>
      <c r="R240" s="95">
        <v>247393</v>
      </c>
      <c r="S240" t="s">
        <v>25</v>
      </c>
      <c r="T240" s="213" t="s">
        <v>4890</v>
      </c>
      <c r="U240" s="213">
        <v>15943</v>
      </c>
      <c r="V240" s="113">
        <v>307.34415000000001</v>
      </c>
      <c r="W240" s="113">
        <f t="shared" si="63"/>
        <v>4899987.78345</v>
      </c>
      <c r="X240" s="99" t="s">
        <v>452</v>
      </c>
      <c r="AI240" t="s">
        <v>4060</v>
      </c>
      <c r="AJ240" s="114">
        <f>SUM(N40:N50)</f>
        <v>3704157951.7000003</v>
      </c>
      <c r="AM240" t="s">
        <v>25</v>
      </c>
    </row>
    <row r="241" spans="15:43">
      <c r="Q241" s="99" t="s">
        <v>4221</v>
      </c>
      <c r="R241" s="95">
        <v>6780000</v>
      </c>
      <c r="T241" s="213" t="s">
        <v>4910</v>
      </c>
      <c r="U241" s="213">
        <v>3741</v>
      </c>
      <c r="V241" s="113">
        <v>307.34415000000001</v>
      </c>
      <c r="W241" s="113">
        <f t="shared" si="63"/>
        <v>1149774.4651500001</v>
      </c>
      <c r="X241" s="99" t="s">
        <v>452</v>
      </c>
      <c r="AI241" t="s">
        <v>4132</v>
      </c>
      <c r="AJ241" s="114">
        <f>AJ240-AJ234</f>
        <v>3123488226.7000003</v>
      </c>
      <c r="AM241" t="s">
        <v>25</v>
      </c>
    </row>
    <row r="242" spans="15:43">
      <c r="Q242" s="99" t="s">
        <v>4575</v>
      </c>
      <c r="R242" s="95">
        <v>-4000000</v>
      </c>
      <c r="T242" s="213" t="s">
        <v>4916</v>
      </c>
      <c r="U242" s="213">
        <v>-6207</v>
      </c>
      <c r="V242" s="113">
        <v>322.214</v>
      </c>
      <c r="W242" s="113">
        <f t="shared" si="63"/>
        <v>-1999982.298</v>
      </c>
      <c r="X242" s="99" t="s">
        <v>749</v>
      </c>
      <c r="AI242" t="s">
        <v>940</v>
      </c>
      <c r="AJ242" s="114">
        <f>AN234</f>
        <v>125031582.92465763</v>
      </c>
      <c r="AN242" t="s">
        <v>25</v>
      </c>
    </row>
    <row r="243" spans="15:43">
      <c r="O243" t="s">
        <v>25</v>
      </c>
      <c r="Q243" s="99" t="s">
        <v>4606</v>
      </c>
      <c r="R243" s="95">
        <v>16727037</v>
      </c>
      <c r="T243" s="213" t="s">
        <v>4916</v>
      </c>
      <c r="U243" s="213">
        <v>6207</v>
      </c>
      <c r="V243" s="113">
        <v>322.214</v>
      </c>
      <c r="W243" s="113">
        <f t="shared" si="63"/>
        <v>1999982.298</v>
      </c>
      <c r="X243" s="99" t="s">
        <v>4435</v>
      </c>
      <c r="AI243" t="s">
        <v>4061</v>
      </c>
      <c r="AJ243" s="114">
        <f>AJ240-AJ239</f>
        <v>2998456643.7753429</v>
      </c>
      <c r="AN243" t="s">
        <v>25</v>
      </c>
    </row>
    <row r="244" spans="15:43">
      <c r="P244" t="s">
        <v>25</v>
      </c>
      <c r="Q244" s="99" t="s">
        <v>4611</v>
      </c>
      <c r="R244" s="95">
        <v>46460683</v>
      </c>
      <c r="S244" t="s">
        <v>25</v>
      </c>
      <c r="T244" s="213" t="s">
        <v>4862</v>
      </c>
      <c r="U244" s="213">
        <v>776</v>
      </c>
      <c r="V244" s="113">
        <v>322.214</v>
      </c>
      <c r="W244" s="113">
        <f t="shared" si="63"/>
        <v>250038.06400000001</v>
      </c>
      <c r="X244" s="99" t="s">
        <v>452</v>
      </c>
      <c r="AM244" t="s">
        <v>25</v>
      </c>
    </row>
    <row r="245" spans="15:43">
      <c r="Q245" s="99" t="s">
        <v>4612</v>
      </c>
      <c r="R245" s="95">
        <v>19663646</v>
      </c>
      <c r="T245" s="213" t="s">
        <v>4942</v>
      </c>
      <c r="U245" s="213">
        <v>1524</v>
      </c>
      <c r="V245" s="113">
        <v>314.95999999999998</v>
      </c>
      <c r="W245" s="113">
        <f t="shared" si="63"/>
        <v>479999.04</v>
      </c>
      <c r="X245" s="99" t="s">
        <v>1083</v>
      </c>
      <c r="AJ245" t="s">
        <v>25</v>
      </c>
    </row>
    <row r="246" spans="15:43">
      <c r="Q246" s="99" t="s">
        <v>4635</v>
      </c>
      <c r="R246" s="95">
        <v>4374525</v>
      </c>
      <c r="T246" s="213" t="s">
        <v>4951</v>
      </c>
      <c r="U246" s="213">
        <v>4435</v>
      </c>
      <c r="V246" s="113">
        <v>316.4375</v>
      </c>
      <c r="W246" s="113">
        <f t="shared" si="63"/>
        <v>1403400.3125</v>
      </c>
      <c r="X246" s="99" t="s">
        <v>452</v>
      </c>
    </row>
    <row r="247" spans="15:43">
      <c r="Q247" s="99" t="s">
        <v>4646</v>
      </c>
      <c r="R247" s="95">
        <v>6550580</v>
      </c>
      <c r="T247" s="213" t="s">
        <v>4956</v>
      </c>
      <c r="U247" s="213">
        <v>624</v>
      </c>
      <c r="V247" s="113">
        <v>320.5</v>
      </c>
      <c r="W247" s="113">
        <f t="shared" si="63"/>
        <v>199992</v>
      </c>
      <c r="X247" s="99" t="s">
        <v>452</v>
      </c>
    </row>
    <row r="248" spans="15:43">
      <c r="Q248" s="99" t="s">
        <v>4648</v>
      </c>
      <c r="R248" s="95">
        <v>6650895</v>
      </c>
      <c r="T248" s="213" t="s">
        <v>4962</v>
      </c>
      <c r="U248" s="213">
        <v>1086</v>
      </c>
      <c r="V248" s="113">
        <v>317.55</v>
      </c>
      <c r="W248" s="113">
        <f t="shared" si="63"/>
        <v>344859.3</v>
      </c>
      <c r="X248" s="99" t="s">
        <v>452</v>
      </c>
    </row>
    <row r="249" spans="15:43">
      <c r="Q249" s="99" t="s">
        <v>4665</v>
      </c>
      <c r="R249" s="95">
        <v>2145814</v>
      </c>
      <c r="T249" s="213" t="s">
        <v>4967</v>
      </c>
      <c r="U249" s="213">
        <v>2820</v>
      </c>
      <c r="V249" s="113">
        <v>319.1096</v>
      </c>
      <c r="W249" s="113">
        <f t="shared" si="63"/>
        <v>899889.07200000004</v>
      </c>
      <c r="X249" s="99" t="s">
        <v>452</v>
      </c>
      <c r="AP249" t="s">
        <v>25</v>
      </c>
    </row>
    <row r="250" spans="15:43">
      <c r="Q250" s="99" t="s">
        <v>4676</v>
      </c>
      <c r="R250" s="95">
        <v>4369730</v>
      </c>
      <c r="T250" s="213" t="s">
        <v>4971</v>
      </c>
      <c r="U250" s="213">
        <v>1145</v>
      </c>
      <c r="V250" s="113">
        <v>325.44</v>
      </c>
      <c r="W250" s="113">
        <f t="shared" si="63"/>
        <v>372628.8</v>
      </c>
      <c r="X250" s="99" t="s">
        <v>452</v>
      </c>
      <c r="Y250" t="s">
        <v>25</v>
      </c>
      <c r="AH250" s="99" t="s">
        <v>3637</v>
      </c>
      <c r="AI250" s="99" t="s">
        <v>180</v>
      </c>
      <c r="AJ250" s="99" t="s">
        <v>267</v>
      </c>
      <c r="AK250" s="99" t="s">
        <v>4054</v>
      </c>
      <c r="AL250" s="99" t="s">
        <v>4046</v>
      </c>
      <c r="AM250" s="99" t="s">
        <v>282</v>
      </c>
      <c r="AN250" s="99" t="s">
        <v>4283</v>
      </c>
    </row>
    <row r="251" spans="15:43">
      <c r="P251" t="s">
        <v>25</v>
      </c>
      <c r="Q251" s="99" t="s">
        <v>4678</v>
      </c>
      <c r="R251" s="95">
        <v>8739459</v>
      </c>
      <c r="S251" t="s">
        <v>25</v>
      </c>
      <c r="T251" s="213" t="s">
        <v>4982</v>
      </c>
      <c r="U251" s="213">
        <v>20153</v>
      </c>
      <c r="V251" s="113">
        <v>322</v>
      </c>
      <c r="W251" s="113">
        <f t="shared" si="63"/>
        <v>6489266</v>
      </c>
      <c r="X251" s="99" t="s">
        <v>452</v>
      </c>
      <c r="Y251" t="s">
        <v>25</v>
      </c>
      <c r="AH251" s="99">
        <v>1</v>
      </c>
      <c r="AI251" s="99" t="s">
        <v>3945</v>
      </c>
      <c r="AJ251" s="117">
        <v>3555820</v>
      </c>
      <c r="AK251" s="99">
        <v>2</v>
      </c>
      <c r="AL251" s="99">
        <f>AK251+AL252</f>
        <v>635</v>
      </c>
      <c r="AM251" s="99">
        <f>AJ251*AL251</f>
        <v>2257945700</v>
      </c>
      <c r="AN251" s="99" t="s">
        <v>4303</v>
      </c>
    </row>
    <row r="252" spans="15:43">
      <c r="Q252" s="99" t="s">
        <v>4687</v>
      </c>
      <c r="R252" s="95">
        <v>6667654</v>
      </c>
      <c r="T252" s="213" t="s">
        <v>4995</v>
      </c>
      <c r="U252" s="213">
        <v>93720</v>
      </c>
      <c r="V252" s="113">
        <v>325.435</v>
      </c>
      <c r="W252" s="113">
        <f t="shared" si="63"/>
        <v>30499768.199999999</v>
      </c>
      <c r="X252" s="99" t="s">
        <v>1083</v>
      </c>
      <c r="AH252" s="99">
        <v>2</v>
      </c>
      <c r="AI252" s="99" t="s">
        <v>4020</v>
      </c>
      <c r="AJ252" s="117">
        <v>1720837</v>
      </c>
      <c r="AK252" s="99">
        <v>51</v>
      </c>
      <c r="AL252" s="99">
        <f t="shared" ref="AL252:AL261" si="83">AK252+AL253</f>
        <v>633</v>
      </c>
      <c r="AM252" s="99">
        <f t="shared" ref="AM252:AM280" si="84">AJ252*AL252</f>
        <v>1089289821</v>
      </c>
      <c r="AN252" s="99" t="s">
        <v>4304</v>
      </c>
    </row>
    <row r="253" spans="15:43">
      <c r="Q253" s="99" t="s">
        <v>4695</v>
      </c>
      <c r="R253" s="95">
        <v>8981245</v>
      </c>
      <c r="T253" s="213" t="s">
        <v>4995</v>
      </c>
      <c r="U253" s="213">
        <v>20895</v>
      </c>
      <c r="V253" s="113">
        <v>325.435</v>
      </c>
      <c r="W253" s="113">
        <f t="shared" si="63"/>
        <v>6799964.3250000002</v>
      </c>
      <c r="X253" s="99" t="s">
        <v>749</v>
      </c>
      <c r="AH253" s="99">
        <v>3</v>
      </c>
      <c r="AI253" s="99" t="s">
        <v>4126</v>
      </c>
      <c r="AJ253" s="117">
        <v>150000</v>
      </c>
      <c r="AK253" s="99">
        <v>3</v>
      </c>
      <c r="AL253" s="99">
        <f t="shared" si="83"/>
        <v>582</v>
      </c>
      <c r="AM253" s="99">
        <f t="shared" si="84"/>
        <v>87300000</v>
      </c>
      <c r="AN253" s="99"/>
      <c r="AQ253" t="s">
        <v>25</v>
      </c>
    </row>
    <row r="254" spans="15:43">
      <c r="Q254" s="99" t="s">
        <v>4699</v>
      </c>
      <c r="R254" s="95">
        <v>9181756</v>
      </c>
      <c r="T254" s="213" t="s">
        <v>5007</v>
      </c>
      <c r="U254" s="213">
        <v>2611</v>
      </c>
      <c r="V254" s="113">
        <v>325.435</v>
      </c>
      <c r="W254" s="113">
        <f t="shared" si="63"/>
        <v>849710.78500000003</v>
      </c>
      <c r="X254" s="99" t="s">
        <v>749</v>
      </c>
      <c r="AH254" s="99">
        <v>4</v>
      </c>
      <c r="AI254" s="99" t="s">
        <v>4141</v>
      </c>
      <c r="AJ254" s="117">
        <v>-95000</v>
      </c>
      <c r="AK254" s="99">
        <v>8</v>
      </c>
      <c r="AL254" s="99">
        <f t="shared" si="83"/>
        <v>579</v>
      </c>
      <c r="AM254" s="99">
        <f t="shared" si="84"/>
        <v>-55005000</v>
      </c>
      <c r="AN254" s="99"/>
    </row>
    <row r="255" spans="15:43">
      <c r="Q255" s="99" t="s">
        <v>4702</v>
      </c>
      <c r="R255" s="95">
        <v>11811208</v>
      </c>
      <c r="S255" t="s">
        <v>25</v>
      </c>
      <c r="T255" s="213" t="s">
        <v>5017</v>
      </c>
      <c r="U255" s="213">
        <v>6750</v>
      </c>
      <c r="V255" s="113">
        <v>339.3</v>
      </c>
      <c r="W255" s="113">
        <f t="shared" si="63"/>
        <v>2290275</v>
      </c>
      <c r="X255" s="99" t="s">
        <v>749</v>
      </c>
      <c r="AH255" s="99">
        <v>5</v>
      </c>
      <c r="AI255" s="99" t="s">
        <v>4166</v>
      </c>
      <c r="AJ255" s="117">
        <v>3150000</v>
      </c>
      <c r="AK255" s="99">
        <v>16</v>
      </c>
      <c r="AL255" s="99">
        <f t="shared" si="83"/>
        <v>571</v>
      </c>
      <c r="AM255" s="99">
        <f t="shared" si="84"/>
        <v>1798650000</v>
      </c>
      <c r="AN255" s="99"/>
    </row>
    <row r="256" spans="15:43">
      <c r="Q256" s="99" t="s">
        <v>4716</v>
      </c>
      <c r="R256" s="95">
        <v>41248054</v>
      </c>
      <c r="S256" t="s">
        <v>25</v>
      </c>
      <c r="T256" s="213" t="s">
        <v>5030</v>
      </c>
      <c r="U256" s="213">
        <v>1850</v>
      </c>
      <c r="V256" s="113">
        <v>334.10050000000001</v>
      </c>
      <c r="W256" s="113">
        <f t="shared" si="63"/>
        <v>618085.92500000005</v>
      </c>
      <c r="X256" s="99" t="s">
        <v>452</v>
      </c>
      <c r="AH256" s="99">
        <v>6</v>
      </c>
      <c r="AI256" s="99" t="s">
        <v>4231</v>
      </c>
      <c r="AJ256" s="117">
        <v>-65000</v>
      </c>
      <c r="AK256" s="99">
        <v>1</v>
      </c>
      <c r="AL256" s="99">
        <f t="shared" si="83"/>
        <v>555</v>
      </c>
      <c r="AM256" s="99">
        <f t="shared" si="84"/>
        <v>-36075000</v>
      </c>
      <c r="AN256" s="99"/>
    </row>
    <row r="257" spans="17:45">
      <c r="Q257" s="99" t="s">
        <v>4723</v>
      </c>
      <c r="R257" s="95">
        <v>37328780</v>
      </c>
      <c r="T257" s="213" t="s">
        <v>5030</v>
      </c>
      <c r="U257" s="213">
        <v>-1194</v>
      </c>
      <c r="V257" s="113">
        <v>335</v>
      </c>
      <c r="W257" s="113">
        <f t="shared" si="63"/>
        <v>-399990</v>
      </c>
      <c r="X257" s="99" t="s">
        <v>4435</v>
      </c>
      <c r="AH257" s="99">
        <v>7</v>
      </c>
      <c r="AI257" s="99" t="s">
        <v>4305</v>
      </c>
      <c r="AJ257" s="117">
        <v>-95000</v>
      </c>
      <c r="AK257" s="99">
        <v>6</v>
      </c>
      <c r="AL257" s="99">
        <f t="shared" si="83"/>
        <v>554</v>
      </c>
      <c r="AM257" s="99">
        <f t="shared" si="84"/>
        <v>-52630000</v>
      </c>
      <c r="AN257" s="99"/>
    </row>
    <row r="258" spans="17:45">
      <c r="Q258" s="99" t="s">
        <v>4805</v>
      </c>
      <c r="R258" s="95">
        <v>-2194100</v>
      </c>
      <c r="T258" s="213" t="s">
        <v>5030</v>
      </c>
      <c r="U258" s="213">
        <v>1194</v>
      </c>
      <c r="V258" s="113">
        <v>335</v>
      </c>
      <c r="W258" s="113">
        <f t="shared" si="63"/>
        <v>399990</v>
      </c>
      <c r="X258" s="99" t="s">
        <v>749</v>
      </c>
      <c r="Z258" t="s">
        <v>25</v>
      </c>
      <c r="AH258" s="99">
        <v>8</v>
      </c>
      <c r="AI258" s="99" t="s">
        <v>4306</v>
      </c>
      <c r="AJ258" s="117">
        <v>232000</v>
      </c>
      <c r="AK258" s="99">
        <v>7</v>
      </c>
      <c r="AL258" s="99">
        <f t="shared" si="83"/>
        <v>548</v>
      </c>
      <c r="AM258" s="99">
        <f t="shared" si="84"/>
        <v>127136000</v>
      </c>
      <c r="AN258" s="99"/>
    </row>
    <row r="259" spans="17:45">
      <c r="Q259" s="99" t="s">
        <v>4842</v>
      </c>
      <c r="R259" s="95">
        <v>20193916</v>
      </c>
      <c r="T259" s="213" t="s">
        <v>5037</v>
      </c>
      <c r="U259" s="213">
        <v>433</v>
      </c>
      <c r="V259" s="113">
        <v>345.68</v>
      </c>
      <c r="W259" s="113">
        <f t="shared" si="63"/>
        <v>149679.44</v>
      </c>
      <c r="X259" s="99" t="s">
        <v>749</v>
      </c>
      <c r="AH259" s="99">
        <v>9</v>
      </c>
      <c r="AI259" s="99" t="s">
        <v>4282</v>
      </c>
      <c r="AJ259" s="117">
        <v>13000000</v>
      </c>
      <c r="AK259" s="99">
        <v>2</v>
      </c>
      <c r="AL259" s="99">
        <f t="shared" si="83"/>
        <v>541</v>
      </c>
      <c r="AM259" s="99">
        <f t="shared" si="84"/>
        <v>7033000000</v>
      </c>
      <c r="AN259" s="99"/>
    </row>
    <row r="260" spans="17:45">
      <c r="Q260" s="99" t="s">
        <v>4916</v>
      </c>
      <c r="R260" s="95">
        <v>-2000000</v>
      </c>
      <c r="T260" s="213" t="s">
        <v>5042</v>
      </c>
      <c r="U260" s="213">
        <v>55459</v>
      </c>
      <c r="V260" s="113">
        <v>362.51978000000003</v>
      </c>
      <c r="W260" s="113">
        <f t="shared" si="63"/>
        <v>20104984.479020003</v>
      </c>
      <c r="X260" s="99" t="s">
        <v>452</v>
      </c>
      <c r="AH260" s="99">
        <v>10</v>
      </c>
      <c r="AI260" s="99" t="s">
        <v>4307</v>
      </c>
      <c r="AJ260" s="117">
        <v>10000000</v>
      </c>
      <c r="AK260" s="99">
        <v>3</v>
      </c>
      <c r="AL260" s="99">
        <f t="shared" si="83"/>
        <v>539</v>
      </c>
      <c r="AM260" s="99">
        <f t="shared" si="84"/>
        <v>5390000000</v>
      </c>
      <c r="AN260" s="99"/>
    </row>
    <row r="261" spans="17:45">
      <c r="Q261" s="99" t="s">
        <v>4995</v>
      </c>
      <c r="R261" s="95">
        <v>6800000</v>
      </c>
      <c r="S261" t="s">
        <v>25</v>
      </c>
      <c r="T261" s="213" t="s">
        <v>5046</v>
      </c>
      <c r="U261" s="213">
        <v>-57212</v>
      </c>
      <c r="V261" s="113">
        <v>368.45400000000001</v>
      </c>
      <c r="W261" s="113">
        <f t="shared" si="63"/>
        <v>-21079990.248</v>
      </c>
      <c r="X261" s="99" t="s">
        <v>452</v>
      </c>
      <c r="AH261" s="99">
        <v>11</v>
      </c>
      <c r="AI261" s="99" t="s">
        <v>4295</v>
      </c>
      <c r="AJ261" s="117">
        <v>3400000</v>
      </c>
      <c r="AK261" s="99">
        <v>9</v>
      </c>
      <c r="AL261" s="99">
        <f t="shared" si="83"/>
        <v>536</v>
      </c>
      <c r="AM261" s="99">
        <f t="shared" si="84"/>
        <v>1822400000</v>
      </c>
      <c r="AN261" s="99"/>
    </row>
    <row r="262" spans="17:45">
      <c r="Q262" s="99" t="s">
        <v>5007</v>
      </c>
      <c r="R262" s="95">
        <v>850000</v>
      </c>
      <c r="T262" s="213" t="s">
        <v>5047</v>
      </c>
      <c r="U262" s="213">
        <v>-15881</v>
      </c>
      <c r="V262" s="113">
        <v>374.61599999999999</v>
      </c>
      <c r="W262" s="113">
        <f t="shared" si="63"/>
        <v>-5949276.6959999995</v>
      </c>
      <c r="X262" s="99" t="s">
        <v>452</v>
      </c>
      <c r="AH262" s="99">
        <v>12</v>
      </c>
      <c r="AI262" s="99" t="s">
        <v>4336</v>
      </c>
      <c r="AJ262" s="117">
        <v>-8736514</v>
      </c>
      <c r="AK262" s="99">
        <v>1</v>
      </c>
      <c r="AL262" s="99">
        <f>AK262+AL263</f>
        <v>527</v>
      </c>
      <c r="AM262" s="99">
        <f t="shared" si="84"/>
        <v>-4604142878</v>
      </c>
      <c r="AN262" s="99"/>
    </row>
    <row r="263" spans="17:45">
      <c r="Q263" s="99" t="s">
        <v>5017</v>
      </c>
      <c r="R263" s="95">
        <v>2290500</v>
      </c>
      <c r="T263" s="213" t="s">
        <v>5053</v>
      </c>
      <c r="U263" s="213">
        <v>-41289</v>
      </c>
      <c r="V263" s="113">
        <v>372.27</v>
      </c>
      <c r="W263" s="113">
        <f t="shared" si="63"/>
        <v>-15370656.029999999</v>
      </c>
      <c r="X263" s="99" t="s">
        <v>452</v>
      </c>
      <c r="AH263" s="99">
        <v>13</v>
      </c>
      <c r="AI263" s="99" t="s">
        <v>4337</v>
      </c>
      <c r="AJ263" s="117">
        <v>555000</v>
      </c>
      <c r="AK263" s="99">
        <v>5</v>
      </c>
      <c r="AL263" s="99">
        <f t="shared" ref="AL263:AL279" si="85">AK263+AL264</f>
        <v>526</v>
      </c>
      <c r="AM263" s="99">
        <f t="shared" si="84"/>
        <v>291930000</v>
      </c>
      <c r="AN263" s="99"/>
    </row>
    <row r="264" spans="17:45">
      <c r="Q264" s="99" t="s">
        <v>5030</v>
      </c>
      <c r="R264" s="95">
        <v>400000</v>
      </c>
      <c r="S264" t="s">
        <v>25</v>
      </c>
      <c r="T264" s="213" t="s">
        <v>5059</v>
      </c>
      <c r="U264" s="213">
        <v>13563</v>
      </c>
      <c r="V264" s="113">
        <v>365.69799999999998</v>
      </c>
      <c r="W264" s="113">
        <f t="shared" si="63"/>
        <v>4959961.9739999995</v>
      </c>
      <c r="X264" s="99" t="s">
        <v>452</v>
      </c>
      <c r="AH264" s="99">
        <v>14</v>
      </c>
      <c r="AI264" s="99" t="s">
        <v>4361</v>
      </c>
      <c r="AJ264" s="117">
        <v>-448308</v>
      </c>
      <c r="AK264" s="99">
        <v>6</v>
      </c>
      <c r="AL264" s="99">
        <f t="shared" si="85"/>
        <v>521</v>
      </c>
      <c r="AM264" s="99">
        <f t="shared" si="84"/>
        <v>-233568468</v>
      </c>
      <c r="AN264" s="99"/>
    </row>
    <row r="265" spans="17:45">
      <c r="Q265" s="99" t="s">
        <v>5037</v>
      </c>
      <c r="R265" s="95">
        <v>150000</v>
      </c>
      <c r="T265" s="213" t="s">
        <v>5059</v>
      </c>
      <c r="U265" s="213">
        <v>27344</v>
      </c>
      <c r="V265" s="113">
        <v>365.69799999999998</v>
      </c>
      <c r="W265" s="113">
        <f t="shared" si="63"/>
        <v>9999646.1119999997</v>
      </c>
      <c r="X265" s="99" t="s">
        <v>452</v>
      </c>
      <c r="AH265" s="99">
        <v>15</v>
      </c>
      <c r="AI265" s="99" t="s">
        <v>4391</v>
      </c>
      <c r="AJ265" s="117">
        <v>33225</v>
      </c>
      <c r="AK265" s="99">
        <v>0</v>
      </c>
      <c r="AL265" s="99">
        <f t="shared" si="85"/>
        <v>515</v>
      </c>
      <c r="AM265" s="99">
        <f t="shared" si="84"/>
        <v>17110875</v>
      </c>
      <c r="AN265" s="99"/>
    </row>
    <row r="266" spans="17:45" ht="30">
      <c r="Q266" s="99" t="s">
        <v>5066</v>
      </c>
      <c r="R266" s="95">
        <v>-144950</v>
      </c>
      <c r="T266" s="213" t="s">
        <v>5066</v>
      </c>
      <c r="U266" s="213">
        <v>-103145</v>
      </c>
      <c r="V266" s="113">
        <v>393.334</v>
      </c>
      <c r="W266" s="113">
        <f t="shared" si="63"/>
        <v>-40570435.43</v>
      </c>
      <c r="X266" s="36" t="s">
        <v>5071</v>
      </c>
      <c r="AH266" s="149">
        <v>16</v>
      </c>
      <c r="AI266" s="149" t="s">
        <v>4391</v>
      </c>
      <c r="AJ266" s="188">
        <v>4098523</v>
      </c>
      <c r="AK266" s="149">
        <v>2</v>
      </c>
      <c r="AL266" s="149">
        <f t="shared" si="85"/>
        <v>515</v>
      </c>
      <c r="AM266" s="149">
        <f t="shared" si="84"/>
        <v>2110739345</v>
      </c>
      <c r="AN266" s="149" t="s">
        <v>655</v>
      </c>
    </row>
    <row r="267" spans="17:45">
      <c r="Q267" s="99" t="s">
        <v>5095</v>
      </c>
      <c r="R267" s="95">
        <v>320000</v>
      </c>
      <c r="T267" s="213" t="s">
        <v>5066</v>
      </c>
      <c r="U267" s="213">
        <v>-369</v>
      </c>
      <c r="V267" s="113">
        <v>393.334</v>
      </c>
      <c r="W267" s="113">
        <f t="shared" si="63"/>
        <v>-145140.24600000001</v>
      </c>
      <c r="X267" s="36" t="s">
        <v>5148</v>
      </c>
      <c r="Y267" t="s">
        <v>25</v>
      </c>
      <c r="AH267" s="149">
        <v>17</v>
      </c>
      <c r="AI267" s="149" t="s">
        <v>4404</v>
      </c>
      <c r="AJ267" s="188">
        <v>-1000000</v>
      </c>
      <c r="AK267" s="149">
        <v>7</v>
      </c>
      <c r="AL267" s="149">
        <f t="shared" si="85"/>
        <v>513</v>
      </c>
      <c r="AM267" s="149">
        <f t="shared" si="84"/>
        <v>-513000000</v>
      </c>
      <c r="AN267" s="149" t="s">
        <v>655</v>
      </c>
      <c r="AS267" t="s">
        <v>25</v>
      </c>
    </row>
    <row r="268" spans="17:45">
      <c r="Q268" s="99" t="s">
        <v>5099</v>
      </c>
      <c r="R268" s="95">
        <v>500000</v>
      </c>
      <c r="S268" t="s">
        <v>25</v>
      </c>
      <c r="T268" s="213" t="s">
        <v>5066</v>
      </c>
      <c r="U268" s="213">
        <v>-889</v>
      </c>
      <c r="V268" s="113">
        <v>393.334</v>
      </c>
      <c r="W268" s="113">
        <f t="shared" si="63"/>
        <v>-349673.92599999998</v>
      </c>
      <c r="X268" s="36" t="s">
        <v>5149</v>
      </c>
      <c r="AA268" t="s">
        <v>25</v>
      </c>
      <c r="AH268" s="149">
        <v>18</v>
      </c>
      <c r="AI268" s="149" t="s">
        <v>4424</v>
      </c>
      <c r="AJ268" s="188">
        <v>750000</v>
      </c>
      <c r="AK268" s="149">
        <v>1</v>
      </c>
      <c r="AL268" s="149">
        <f t="shared" si="85"/>
        <v>506</v>
      </c>
      <c r="AM268" s="149">
        <f t="shared" si="84"/>
        <v>379500000</v>
      </c>
      <c r="AN268" s="149" t="s">
        <v>655</v>
      </c>
    </row>
    <row r="269" spans="17:45">
      <c r="Q269" s="99" t="s">
        <v>5144</v>
      </c>
      <c r="R269" s="95">
        <v>400000</v>
      </c>
      <c r="S269" t="s">
        <v>25</v>
      </c>
      <c r="T269" s="213" t="s">
        <v>5075</v>
      </c>
      <c r="U269" s="213">
        <v>2546</v>
      </c>
      <c r="V269" s="113">
        <v>393</v>
      </c>
      <c r="W269" s="113">
        <f t="shared" si="63"/>
        <v>1000578</v>
      </c>
      <c r="X269" s="36" t="s">
        <v>452</v>
      </c>
      <c r="AH269" s="195">
        <v>19</v>
      </c>
      <c r="AI269" s="195" t="s">
        <v>4426</v>
      </c>
      <c r="AJ269" s="196">
        <v>-604152</v>
      </c>
      <c r="AK269" s="195">
        <v>0</v>
      </c>
      <c r="AL269" s="195">
        <f t="shared" si="85"/>
        <v>505</v>
      </c>
      <c r="AM269" s="195">
        <f t="shared" si="84"/>
        <v>-305096760</v>
      </c>
      <c r="AN269" s="195" t="s">
        <v>655</v>
      </c>
    </row>
    <row r="270" spans="17:45">
      <c r="Q270" s="99" t="s">
        <v>5147</v>
      </c>
      <c r="R270" s="95">
        <v>50000</v>
      </c>
      <c r="S270" t="s">
        <v>25</v>
      </c>
      <c r="T270" s="213" t="s">
        <v>5076</v>
      </c>
      <c r="U270" s="213">
        <v>1034</v>
      </c>
      <c r="V270" s="113">
        <v>386.608</v>
      </c>
      <c r="W270" s="113">
        <f t="shared" si="63"/>
        <v>399752.67200000002</v>
      </c>
      <c r="X270" s="36" t="s">
        <v>452</v>
      </c>
      <c r="AH270" s="99">
        <v>20</v>
      </c>
      <c r="AI270" s="99" t="s">
        <v>4427</v>
      </c>
      <c r="AJ270" s="117">
        <v>-587083</v>
      </c>
      <c r="AK270" s="99">
        <v>4</v>
      </c>
      <c r="AL270" s="99">
        <f t="shared" si="85"/>
        <v>505</v>
      </c>
      <c r="AM270" s="99">
        <f t="shared" si="84"/>
        <v>-296476915</v>
      </c>
      <c r="AN270" s="99"/>
    </row>
    <row r="271" spans="17:45">
      <c r="Q271" s="99" t="s">
        <v>5157</v>
      </c>
      <c r="R271" s="95">
        <v>300000</v>
      </c>
      <c r="T271" s="213" t="s">
        <v>5083</v>
      </c>
      <c r="U271" s="213">
        <v>300</v>
      </c>
      <c r="V271" s="113">
        <v>400</v>
      </c>
      <c r="W271" s="113">
        <f t="shared" si="63"/>
        <v>120000</v>
      </c>
      <c r="X271" s="36" t="s">
        <v>452</v>
      </c>
      <c r="AH271" s="195">
        <v>21</v>
      </c>
      <c r="AI271" s="195" t="s">
        <v>4428</v>
      </c>
      <c r="AJ271" s="196">
        <v>-754351</v>
      </c>
      <c r="AK271" s="195">
        <v>0</v>
      </c>
      <c r="AL271" s="149">
        <f t="shared" si="85"/>
        <v>501</v>
      </c>
      <c r="AM271" s="195">
        <f t="shared" si="84"/>
        <v>-377929851</v>
      </c>
      <c r="AN271" s="195" t="s">
        <v>655</v>
      </c>
      <c r="AR271" t="s">
        <v>25</v>
      </c>
    </row>
    <row r="272" spans="17:45">
      <c r="Q272" s="99" t="s">
        <v>5183</v>
      </c>
      <c r="R272" s="95">
        <v>250000</v>
      </c>
      <c r="T272" s="213" t="s">
        <v>5095</v>
      </c>
      <c r="U272" s="213">
        <v>782</v>
      </c>
      <c r="V272" s="113">
        <v>409</v>
      </c>
      <c r="W272" s="113">
        <f t="shared" si="63"/>
        <v>319838</v>
      </c>
      <c r="X272" s="36" t="s">
        <v>749</v>
      </c>
      <c r="AH272" s="99">
        <v>22</v>
      </c>
      <c r="AI272" s="99" t="s">
        <v>4428</v>
      </c>
      <c r="AJ272" s="117">
        <v>-189619</v>
      </c>
      <c r="AK272" s="99">
        <v>15</v>
      </c>
      <c r="AL272" s="99">
        <f t="shared" si="85"/>
        <v>501</v>
      </c>
      <c r="AM272" s="99">
        <f t="shared" si="84"/>
        <v>-94999119</v>
      </c>
      <c r="AN272" s="99"/>
    </row>
    <row r="273" spans="15:40">
      <c r="Q273" s="99" t="s">
        <v>5218</v>
      </c>
      <c r="R273" s="95">
        <v>200000</v>
      </c>
      <c r="T273" s="213" t="s">
        <v>5099</v>
      </c>
      <c r="U273" s="213">
        <v>1220</v>
      </c>
      <c r="V273" s="113">
        <v>409.9</v>
      </c>
      <c r="W273" s="113">
        <f t="shared" si="63"/>
        <v>500078</v>
      </c>
      <c r="X273" s="36" t="s">
        <v>749</v>
      </c>
      <c r="Y273" t="s">
        <v>25</v>
      </c>
      <c r="AH273" s="195">
        <v>23</v>
      </c>
      <c r="AI273" s="195" t="s">
        <v>4499</v>
      </c>
      <c r="AJ273" s="188">
        <v>7100</v>
      </c>
      <c r="AK273" s="195">
        <v>0</v>
      </c>
      <c r="AL273" s="149">
        <f t="shared" si="85"/>
        <v>486</v>
      </c>
      <c r="AM273" s="195">
        <f t="shared" si="84"/>
        <v>3450600</v>
      </c>
      <c r="AN273" s="195" t="s">
        <v>655</v>
      </c>
    </row>
    <row r="274" spans="15:40">
      <c r="Q274" s="99" t="s">
        <v>5253</v>
      </c>
      <c r="R274" s="95">
        <v>122000</v>
      </c>
      <c r="T274" s="213" t="s">
        <v>5101</v>
      </c>
      <c r="U274" s="213">
        <v>1285</v>
      </c>
      <c r="V274" s="113">
        <v>388.84</v>
      </c>
      <c r="W274" s="113">
        <f t="shared" si="63"/>
        <v>499659.39999999997</v>
      </c>
      <c r="X274" s="36" t="s">
        <v>452</v>
      </c>
      <c r="Y274" t="s">
        <v>25</v>
      </c>
      <c r="AH274" s="20">
        <v>24</v>
      </c>
      <c r="AI274" s="20" t="s">
        <v>4499</v>
      </c>
      <c r="AJ274" s="117">
        <v>-147902</v>
      </c>
      <c r="AK274" s="20">
        <v>3</v>
      </c>
      <c r="AL274" s="99">
        <f t="shared" si="85"/>
        <v>486</v>
      </c>
      <c r="AM274" s="20">
        <f t="shared" si="84"/>
        <v>-71880372</v>
      </c>
      <c r="AN274" s="20"/>
    </row>
    <row r="275" spans="15:40">
      <c r="Q275" s="99" t="s">
        <v>5261</v>
      </c>
      <c r="R275" s="95">
        <v>200000</v>
      </c>
      <c r="S275" t="s">
        <v>25</v>
      </c>
      <c r="T275" s="213" t="s">
        <v>5088</v>
      </c>
      <c r="U275" s="213">
        <v>1924</v>
      </c>
      <c r="V275" s="113">
        <v>386.69600000000003</v>
      </c>
      <c r="W275" s="113">
        <f t="shared" si="63"/>
        <v>744003.10400000005</v>
      </c>
      <c r="X275" s="36" t="s">
        <v>452</v>
      </c>
      <c r="AH275" s="149">
        <v>25</v>
      </c>
      <c r="AI275" s="149" t="s">
        <v>4507</v>
      </c>
      <c r="AJ275" s="188">
        <v>-37200</v>
      </c>
      <c r="AK275" s="149">
        <v>4</v>
      </c>
      <c r="AL275" s="149">
        <f t="shared" si="85"/>
        <v>483</v>
      </c>
      <c r="AM275" s="195">
        <f t="shared" si="84"/>
        <v>-17967600</v>
      </c>
      <c r="AN275" s="149" t="s">
        <v>655</v>
      </c>
    </row>
    <row r="276" spans="15:40">
      <c r="Q276" s="99" t="s">
        <v>5273</v>
      </c>
      <c r="R276" s="95">
        <v>60000</v>
      </c>
      <c r="T276" s="213" t="s">
        <v>5117</v>
      </c>
      <c r="U276" s="213">
        <v>165</v>
      </c>
      <c r="V276" s="113">
        <v>393.5</v>
      </c>
      <c r="W276" s="113">
        <f t="shared" si="63"/>
        <v>64927.5</v>
      </c>
      <c r="X276" s="36" t="s">
        <v>452</v>
      </c>
      <c r="AH276" s="99">
        <v>26</v>
      </c>
      <c r="AI276" s="99" t="s">
        <v>4538</v>
      </c>
      <c r="AJ276" s="117">
        <v>-372326</v>
      </c>
      <c r="AK276" s="99">
        <v>21</v>
      </c>
      <c r="AL276" s="99">
        <f t="shared" si="85"/>
        <v>479</v>
      </c>
      <c r="AM276" s="20">
        <f t="shared" si="84"/>
        <v>-178344154</v>
      </c>
      <c r="AN276" s="99"/>
    </row>
    <row r="277" spans="15:40" ht="30">
      <c r="Q277" s="99" t="s">
        <v>5335</v>
      </c>
      <c r="R277" s="95">
        <v>-200000</v>
      </c>
      <c r="S277" t="s">
        <v>25</v>
      </c>
      <c r="T277" s="213" t="s">
        <v>5123</v>
      </c>
      <c r="U277" s="213">
        <v>-34859</v>
      </c>
      <c r="V277" s="113">
        <v>403.1585</v>
      </c>
      <c r="W277" s="113">
        <f t="shared" si="63"/>
        <v>-14053702.1515</v>
      </c>
      <c r="X277" s="36" t="s">
        <v>5126</v>
      </c>
      <c r="AH277" s="99">
        <v>27</v>
      </c>
      <c r="AI277" s="99" t="s">
        <v>4589</v>
      </c>
      <c r="AJ277" s="117">
        <v>235062</v>
      </c>
      <c r="AK277" s="99">
        <v>0</v>
      </c>
      <c r="AL277" s="99">
        <f t="shared" si="85"/>
        <v>458</v>
      </c>
      <c r="AM277" s="20">
        <f t="shared" si="84"/>
        <v>107658396</v>
      </c>
      <c r="AN277" s="99"/>
    </row>
    <row r="278" spans="15:40">
      <c r="Q278" s="99" t="s">
        <v>5415</v>
      </c>
      <c r="R278" s="95">
        <v>-9000000</v>
      </c>
      <c r="T278" s="213" t="s">
        <v>5089</v>
      </c>
      <c r="U278" s="213">
        <v>8476</v>
      </c>
      <c r="V278" s="113">
        <v>419.49900000000002</v>
      </c>
      <c r="W278" s="113">
        <f t="shared" si="63"/>
        <v>3555673.5240000002</v>
      </c>
      <c r="X278" s="36" t="s">
        <v>5132</v>
      </c>
      <c r="AH278" s="149">
        <v>28</v>
      </c>
      <c r="AI278" s="149" t="s">
        <v>4589</v>
      </c>
      <c r="AJ278" s="188">
        <v>235062</v>
      </c>
      <c r="AK278" s="149">
        <v>9</v>
      </c>
      <c r="AL278" s="99">
        <f t="shared" si="85"/>
        <v>458</v>
      </c>
      <c r="AM278" s="149">
        <f t="shared" si="84"/>
        <v>107658396</v>
      </c>
      <c r="AN278" s="149" t="s">
        <v>655</v>
      </c>
    </row>
    <row r="279" spans="15:40">
      <c r="Q279" s="99" t="s">
        <v>5479</v>
      </c>
      <c r="R279" s="95">
        <v>-26000000</v>
      </c>
      <c r="T279" s="213" t="s">
        <v>5144</v>
      </c>
      <c r="U279" s="213">
        <v>903</v>
      </c>
      <c r="V279" s="113">
        <v>442.77379999999999</v>
      </c>
      <c r="W279" s="113">
        <f t="shared" si="63"/>
        <v>399824.7414</v>
      </c>
      <c r="X279" s="36" t="s">
        <v>749</v>
      </c>
      <c r="AH279" s="149">
        <v>29</v>
      </c>
      <c r="AI279" s="149" t="s">
        <v>4612</v>
      </c>
      <c r="AJ279" s="188">
        <v>450000</v>
      </c>
      <c r="AK279" s="149">
        <v>0</v>
      </c>
      <c r="AL279" s="99">
        <f t="shared" si="85"/>
        <v>449</v>
      </c>
      <c r="AM279" s="149">
        <f t="shared" si="84"/>
        <v>202050000</v>
      </c>
      <c r="AN279" s="149" t="s">
        <v>655</v>
      </c>
    </row>
    <row r="280" spans="15:40">
      <c r="Q280" s="99" t="s">
        <v>5485</v>
      </c>
      <c r="R280" s="95">
        <v>-95900000</v>
      </c>
      <c r="T280" s="213" t="s">
        <v>5147</v>
      </c>
      <c r="U280" s="213">
        <v>113</v>
      </c>
      <c r="V280" s="113">
        <v>442.48200000000003</v>
      </c>
      <c r="W280" s="113">
        <f t="shared" ref="W280:W346" si="86">U280*V280</f>
        <v>50000.466</v>
      </c>
      <c r="X280" s="36" t="s">
        <v>749</v>
      </c>
      <c r="AH280" s="20">
        <v>30</v>
      </c>
      <c r="AI280" s="20" t="s">
        <v>4612</v>
      </c>
      <c r="AJ280" s="117">
        <v>450000</v>
      </c>
      <c r="AK280" s="20">
        <v>22</v>
      </c>
      <c r="AL280" s="99">
        <f>AK280+AL281</f>
        <v>449</v>
      </c>
      <c r="AM280" s="20">
        <f t="shared" si="84"/>
        <v>202050000</v>
      </c>
      <c r="AN280" s="20"/>
    </row>
    <row r="281" spans="15:40">
      <c r="Q281" s="99" t="s">
        <v>5486</v>
      </c>
      <c r="R281" s="95">
        <v>-28950000</v>
      </c>
      <c r="S281" t="s">
        <v>25</v>
      </c>
      <c r="T281" s="213" t="s">
        <v>5157</v>
      </c>
      <c r="U281" s="213">
        <v>671</v>
      </c>
      <c r="V281" s="113">
        <v>447</v>
      </c>
      <c r="W281" s="113">
        <f t="shared" si="86"/>
        <v>299937</v>
      </c>
      <c r="X281" s="36" t="s">
        <v>749</v>
      </c>
      <c r="AH281" s="149">
        <v>31</v>
      </c>
      <c r="AI281" s="149" t="s">
        <v>4678</v>
      </c>
      <c r="AJ281" s="188">
        <v>300000</v>
      </c>
      <c r="AK281" s="149">
        <v>0</v>
      </c>
      <c r="AL281" s="149">
        <f t="shared" ref="AL281:AL296" si="87">AK281+AL282</f>
        <v>427</v>
      </c>
      <c r="AM281" s="149">
        <f t="shared" ref="AM281:AM284" si="88">AJ281*AL281</f>
        <v>128100000</v>
      </c>
      <c r="AN281" s="149"/>
    </row>
    <row r="282" spans="15:40" ht="30">
      <c r="Q282" s="99"/>
      <c r="R282" s="95"/>
      <c r="S282" t="s">
        <v>25</v>
      </c>
      <c r="T282" s="213" t="s">
        <v>5159</v>
      </c>
      <c r="U282" s="213">
        <v>7</v>
      </c>
      <c r="V282" s="113">
        <v>465.31200000000001</v>
      </c>
      <c r="W282" s="113">
        <f t="shared" si="86"/>
        <v>3257.1840000000002</v>
      </c>
      <c r="X282" s="36" t="s">
        <v>452</v>
      </c>
      <c r="AH282" s="121">
        <v>32</v>
      </c>
      <c r="AI282" s="121" t="s">
        <v>4678</v>
      </c>
      <c r="AJ282" s="79">
        <v>288936</v>
      </c>
      <c r="AK282" s="121">
        <v>3</v>
      </c>
      <c r="AL282" s="121">
        <f t="shared" si="87"/>
        <v>427</v>
      </c>
      <c r="AM282" s="121">
        <f t="shared" si="88"/>
        <v>123375672</v>
      </c>
      <c r="AN282" s="205" t="s">
        <v>4689</v>
      </c>
    </row>
    <row r="283" spans="15:40">
      <c r="O283" t="s">
        <v>25</v>
      </c>
      <c r="Q283" s="99"/>
      <c r="R283" s="95"/>
      <c r="T283" s="213" t="s">
        <v>5165</v>
      </c>
      <c r="U283" s="213">
        <v>12950</v>
      </c>
      <c r="V283" s="113">
        <v>463.31599999999997</v>
      </c>
      <c r="W283" s="113">
        <f t="shared" si="86"/>
        <v>5999942.1999999993</v>
      </c>
      <c r="X283" s="36" t="s">
        <v>452</v>
      </c>
      <c r="AH283" s="121">
        <v>33</v>
      </c>
      <c r="AI283" s="121" t="s">
        <v>4687</v>
      </c>
      <c r="AJ283" s="79">
        <v>17962491</v>
      </c>
      <c r="AK283" s="121">
        <v>1</v>
      </c>
      <c r="AL283" s="121">
        <f t="shared" si="87"/>
        <v>424</v>
      </c>
      <c r="AM283" s="121">
        <f t="shared" si="88"/>
        <v>7616096184</v>
      </c>
      <c r="AN283" s="121" t="s">
        <v>4694</v>
      </c>
    </row>
    <row r="284" spans="15:40">
      <c r="Q284" s="99"/>
      <c r="R284" s="95">
        <f>SUM(R238:R283)</f>
        <v>276933825</v>
      </c>
      <c r="T284" s="213" t="s">
        <v>5168</v>
      </c>
      <c r="U284" s="213">
        <v>37</v>
      </c>
      <c r="V284" s="113">
        <v>463.315</v>
      </c>
      <c r="W284" s="113">
        <f t="shared" si="86"/>
        <v>17142.654999999999</v>
      </c>
      <c r="X284" s="36" t="s">
        <v>452</v>
      </c>
      <c r="AH284" s="121">
        <v>34</v>
      </c>
      <c r="AI284" s="121" t="s">
        <v>3680</v>
      </c>
      <c r="AJ284" s="79">
        <v>18363511</v>
      </c>
      <c r="AK284" s="121">
        <v>1</v>
      </c>
      <c r="AL284" s="121">
        <f t="shared" si="87"/>
        <v>423</v>
      </c>
      <c r="AM284" s="121">
        <f t="shared" si="88"/>
        <v>7767765153</v>
      </c>
      <c r="AN284" s="121" t="s">
        <v>4694</v>
      </c>
    </row>
    <row r="285" spans="15:40">
      <c r="Q285" s="99"/>
      <c r="R285" s="99" t="s">
        <v>6</v>
      </c>
      <c r="T285" s="213" t="s">
        <v>5169</v>
      </c>
      <c r="U285" s="213">
        <v>19</v>
      </c>
      <c r="V285" s="113">
        <v>434.3</v>
      </c>
      <c r="W285" s="113">
        <f t="shared" si="86"/>
        <v>8251.7000000000007</v>
      </c>
      <c r="X285" s="36" t="s">
        <v>452</v>
      </c>
      <c r="AH285" s="121">
        <v>35</v>
      </c>
      <c r="AI285" s="121" t="s">
        <v>4699</v>
      </c>
      <c r="AJ285" s="79">
        <v>23622417</v>
      </c>
      <c r="AK285" s="121">
        <v>5</v>
      </c>
      <c r="AL285" s="121">
        <f t="shared" si="87"/>
        <v>422</v>
      </c>
      <c r="AM285" s="121">
        <f t="shared" ref="AM285:AM288" si="89">AJ285*AL285</f>
        <v>9968659974</v>
      </c>
      <c r="AN285" s="121" t="s">
        <v>4701</v>
      </c>
    </row>
    <row r="286" spans="15:40">
      <c r="R286" t="s">
        <v>25</v>
      </c>
      <c r="T286" s="213" t="s">
        <v>5171</v>
      </c>
      <c r="U286" s="213">
        <v>16</v>
      </c>
      <c r="V286" s="113">
        <v>439</v>
      </c>
      <c r="W286" s="113">
        <f t="shared" si="86"/>
        <v>7024</v>
      </c>
      <c r="X286" s="36" t="s">
        <v>452</v>
      </c>
      <c r="AH286" s="121">
        <v>36</v>
      </c>
      <c r="AI286" s="121" t="s">
        <v>4714</v>
      </c>
      <c r="AJ286" s="79">
        <v>82496108</v>
      </c>
      <c r="AK286" s="121">
        <v>1</v>
      </c>
      <c r="AL286" s="121">
        <f t="shared" si="87"/>
        <v>417</v>
      </c>
      <c r="AM286" s="121">
        <f t="shared" si="89"/>
        <v>34400877036</v>
      </c>
      <c r="AN286" s="121" t="s">
        <v>4717</v>
      </c>
    </row>
    <row r="287" spans="15:40" ht="45">
      <c r="S287" t="s">
        <v>25</v>
      </c>
      <c r="T287" s="213" t="s">
        <v>5171</v>
      </c>
      <c r="U287" s="213">
        <v>9191</v>
      </c>
      <c r="V287" s="113">
        <v>440.24630000000002</v>
      </c>
      <c r="W287" s="113">
        <f t="shared" si="86"/>
        <v>4046303.7433000002</v>
      </c>
      <c r="X287" s="36" t="s">
        <v>5172</v>
      </c>
      <c r="AH287" s="121">
        <v>37</v>
      </c>
      <c r="AI287" s="121" t="s">
        <v>4716</v>
      </c>
      <c r="AJ287" s="79">
        <v>74657561</v>
      </c>
      <c r="AK287" s="121">
        <v>16</v>
      </c>
      <c r="AL287" s="121">
        <f t="shared" si="87"/>
        <v>416</v>
      </c>
      <c r="AM287" s="121">
        <f t="shared" si="89"/>
        <v>31057545376</v>
      </c>
      <c r="AN287" s="121" t="s">
        <v>4722</v>
      </c>
    </row>
    <row r="288" spans="15:40">
      <c r="Q288" s="99" t="s">
        <v>452</v>
      </c>
      <c r="R288" s="99"/>
      <c r="T288" s="213" t="s">
        <v>5174</v>
      </c>
      <c r="U288" s="213">
        <v>-8792</v>
      </c>
      <c r="V288" s="113">
        <v>441.90665999999999</v>
      </c>
      <c r="W288" s="113">
        <f t="shared" si="86"/>
        <v>-3885243.3547199997</v>
      </c>
      <c r="X288" s="36" t="s">
        <v>5175</v>
      </c>
      <c r="AH288" s="99">
        <v>38</v>
      </c>
      <c r="AI288" s="99" t="s">
        <v>4791</v>
      </c>
      <c r="AJ288" s="117">
        <v>665000</v>
      </c>
      <c r="AK288" s="99">
        <v>0</v>
      </c>
      <c r="AL288" s="99">
        <f t="shared" si="87"/>
        <v>400</v>
      </c>
      <c r="AM288" s="20">
        <f t="shared" si="89"/>
        <v>266000000</v>
      </c>
      <c r="AN288" s="99"/>
    </row>
    <row r="289" spans="16:44">
      <c r="Q289" s="99" t="s">
        <v>4428</v>
      </c>
      <c r="R289" s="95">
        <v>63115000</v>
      </c>
      <c r="T289" s="189" t="s">
        <v>5178</v>
      </c>
      <c r="U289" s="189">
        <v>24374</v>
      </c>
      <c r="V289" s="188">
        <v>471.81700000000001</v>
      </c>
      <c r="W289" s="188">
        <f t="shared" si="86"/>
        <v>11500067.558</v>
      </c>
      <c r="X289" s="279" t="s">
        <v>5181</v>
      </c>
      <c r="AH289" s="149">
        <v>39</v>
      </c>
      <c r="AI289" s="149" t="s">
        <v>4791</v>
      </c>
      <c r="AJ289" s="188">
        <v>665000</v>
      </c>
      <c r="AK289" s="149">
        <v>4</v>
      </c>
      <c r="AL289" s="195">
        <f t="shared" si="87"/>
        <v>400</v>
      </c>
      <c r="AM289" s="195">
        <f t="shared" ref="AM289:AM290" si="90">AJ289*AL289</f>
        <v>266000000</v>
      </c>
      <c r="AN289" s="195"/>
    </row>
    <row r="290" spans="16:44">
      <c r="Q290" s="99" t="s">
        <v>4481</v>
      </c>
      <c r="R290" s="95">
        <v>13300000</v>
      </c>
      <c r="T290" s="213" t="s">
        <v>5183</v>
      </c>
      <c r="U290" s="213">
        <v>530</v>
      </c>
      <c r="V290" s="113">
        <v>472</v>
      </c>
      <c r="W290" s="113">
        <f t="shared" si="86"/>
        <v>250160</v>
      </c>
      <c r="X290" s="36" t="s">
        <v>749</v>
      </c>
      <c r="AH290" s="20">
        <v>40</v>
      </c>
      <c r="AI290" s="20" t="s">
        <v>4800</v>
      </c>
      <c r="AJ290" s="117">
        <v>2000000</v>
      </c>
      <c r="AK290" s="20">
        <v>1</v>
      </c>
      <c r="AL290" s="99">
        <f t="shared" si="87"/>
        <v>396</v>
      </c>
      <c r="AM290" s="20">
        <f t="shared" si="90"/>
        <v>792000000</v>
      </c>
      <c r="AN290" s="99"/>
    </row>
    <row r="291" spans="16:44" ht="30">
      <c r="Q291" s="99" t="s">
        <v>4489</v>
      </c>
      <c r="R291" s="95">
        <v>2269000</v>
      </c>
      <c r="T291" s="213" t="s">
        <v>5183</v>
      </c>
      <c r="U291" s="213">
        <v>12</v>
      </c>
      <c r="V291" s="113">
        <v>481.86</v>
      </c>
      <c r="W291" s="113">
        <f t="shared" si="86"/>
        <v>5782.32</v>
      </c>
      <c r="X291" s="36" t="s">
        <v>5185</v>
      </c>
      <c r="AH291" s="20">
        <v>41</v>
      </c>
      <c r="AI291" s="20" t="s">
        <v>4805</v>
      </c>
      <c r="AJ291" s="117">
        <v>-2060725</v>
      </c>
      <c r="AK291" s="20">
        <v>0</v>
      </c>
      <c r="AL291" s="99">
        <f t="shared" si="87"/>
        <v>395</v>
      </c>
      <c r="AM291" s="20">
        <f t="shared" ref="AM291:AM296" si="91">AJ291*AL291</f>
        <v>-813986375</v>
      </c>
      <c r="AN291" s="99" t="s">
        <v>4806</v>
      </c>
    </row>
    <row r="292" spans="16:44">
      <c r="Q292" s="99" t="s">
        <v>4602</v>
      </c>
      <c r="R292" s="95">
        <v>25071612</v>
      </c>
      <c r="T292" s="189" t="s">
        <v>5208</v>
      </c>
      <c r="U292" s="189">
        <v>12330</v>
      </c>
      <c r="V292" s="188">
        <v>486.63443869999998</v>
      </c>
      <c r="W292" s="188">
        <f t="shared" si="86"/>
        <v>6000202.6291709999</v>
      </c>
      <c r="X292" s="279" t="s">
        <v>5181</v>
      </c>
      <c r="AH292" s="149">
        <v>42</v>
      </c>
      <c r="AI292" s="149" t="s">
        <v>4805</v>
      </c>
      <c r="AJ292" s="188">
        <v>-433375</v>
      </c>
      <c r="AK292" s="149">
        <v>0</v>
      </c>
      <c r="AL292" s="149">
        <f t="shared" si="87"/>
        <v>395</v>
      </c>
      <c r="AM292" s="149">
        <f t="shared" si="91"/>
        <v>-171183125</v>
      </c>
      <c r="AN292" s="149" t="s">
        <v>4807</v>
      </c>
    </row>
    <row r="293" spans="16:44">
      <c r="Q293" s="99" t="s">
        <v>4611</v>
      </c>
      <c r="R293" s="95">
        <v>42236984</v>
      </c>
      <c r="T293" s="213" t="s">
        <v>5210</v>
      </c>
      <c r="U293" s="213">
        <v>846</v>
      </c>
      <c r="V293" s="113">
        <v>472.7</v>
      </c>
      <c r="W293" s="113">
        <f t="shared" si="86"/>
        <v>399904.2</v>
      </c>
      <c r="X293" s="36" t="s">
        <v>452</v>
      </c>
      <c r="AH293" s="20">
        <v>43</v>
      </c>
      <c r="AI293" s="20" t="s">
        <v>4805</v>
      </c>
      <c r="AJ293" s="117">
        <v>28000000</v>
      </c>
      <c r="AK293" s="20">
        <v>1</v>
      </c>
      <c r="AL293" s="99">
        <f t="shared" si="87"/>
        <v>395</v>
      </c>
      <c r="AM293" s="20">
        <f t="shared" si="91"/>
        <v>11060000000</v>
      </c>
      <c r="AN293" s="99" t="s">
        <v>3887</v>
      </c>
    </row>
    <row r="294" spans="16:44">
      <c r="Q294" s="99" t="s">
        <v>4612</v>
      </c>
      <c r="R294" s="95">
        <v>19663646</v>
      </c>
      <c r="T294" s="189" t="s">
        <v>5210</v>
      </c>
      <c r="U294" s="189">
        <v>3173</v>
      </c>
      <c r="V294" s="188">
        <v>472.7</v>
      </c>
      <c r="W294" s="188">
        <f t="shared" si="86"/>
        <v>1499877.0999999999</v>
      </c>
      <c r="X294" s="279" t="s">
        <v>5346</v>
      </c>
      <c r="AH294" s="20">
        <v>44</v>
      </c>
      <c r="AI294" s="20" t="s">
        <v>4814</v>
      </c>
      <c r="AJ294" s="117">
        <v>160000</v>
      </c>
      <c r="AK294" s="20">
        <v>0</v>
      </c>
      <c r="AL294" s="99">
        <f t="shared" si="87"/>
        <v>394</v>
      </c>
      <c r="AM294" s="20">
        <f t="shared" si="91"/>
        <v>63040000</v>
      </c>
      <c r="AN294" s="99"/>
    </row>
    <row r="295" spans="16:44">
      <c r="Q295" s="99" t="s">
        <v>4635</v>
      </c>
      <c r="R295" s="95">
        <v>4374525</v>
      </c>
      <c r="T295" s="213" t="s">
        <v>5214</v>
      </c>
      <c r="U295" s="213">
        <v>191</v>
      </c>
      <c r="V295" s="113">
        <v>484.572</v>
      </c>
      <c r="W295" s="113">
        <f t="shared" si="86"/>
        <v>92553.252000000008</v>
      </c>
      <c r="X295" s="36" t="s">
        <v>5215</v>
      </c>
      <c r="AH295" s="149">
        <v>45</v>
      </c>
      <c r="AI295" s="149" t="s">
        <v>4814</v>
      </c>
      <c r="AJ295" s="188">
        <v>70000</v>
      </c>
      <c r="AK295" s="149">
        <v>9</v>
      </c>
      <c r="AL295" s="149">
        <f t="shared" si="87"/>
        <v>394</v>
      </c>
      <c r="AM295" s="149">
        <f t="shared" si="91"/>
        <v>27580000</v>
      </c>
      <c r="AN295" s="149"/>
    </row>
    <row r="296" spans="16:44">
      <c r="Q296" s="99" t="s">
        <v>4646</v>
      </c>
      <c r="R296" s="95">
        <v>6550580</v>
      </c>
      <c r="T296" s="213" t="s">
        <v>5214</v>
      </c>
      <c r="U296" s="213">
        <v>-206</v>
      </c>
      <c r="V296" s="113">
        <v>484.572</v>
      </c>
      <c r="W296" s="113">
        <f t="shared" si="86"/>
        <v>-99821.831999999995</v>
      </c>
      <c r="X296" s="36" t="s">
        <v>5217</v>
      </c>
      <c r="AH296" s="20">
        <v>46</v>
      </c>
      <c r="AI296" s="20" t="s">
        <v>4821</v>
      </c>
      <c r="AJ296" s="117">
        <v>850000</v>
      </c>
      <c r="AK296" s="20">
        <v>0</v>
      </c>
      <c r="AL296" s="99">
        <f t="shared" si="87"/>
        <v>385</v>
      </c>
      <c r="AM296" s="20">
        <f t="shared" si="91"/>
        <v>327250000</v>
      </c>
      <c r="AN296" s="99"/>
    </row>
    <row r="297" spans="16:44">
      <c r="P297" t="s">
        <v>25</v>
      </c>
      <c r="Q297" s="99" t="s">
        <v>4648</v>
      </c>
      <c r="R297" s="95">
        <v>7054895</v>
      </c>
      <c r="T297" s="213" t="s">
        <v>5218</v>
      </c>
      <c r="U297" s="213">
        <v>20685</v>
      </c>
      <c r="V297" s="113">
        <v>483.43312200000003</v>
      </c>
      <c r="W297" s="113">
        <f t="shared" si="86"/>
        <v>9999814.1285699997</v>
      </c>
      <c r="X297" s="36" t="s">
        <v>5220</v>
      </c>
      <c r="AH297" s="195">
        <v>47</v>
      </c>
      <c r="AI297" s="195" t="s">
        <v>4821</v>
      </c>
      <c r="AJ297" s="196">
        <v>20000</v>
      </c>
      <c r="AK297" s="195">
        <v>4</v>
      </c>
      <c r="AL297" s="195">
        <f t="shared" ref="AL297:AL305" si="92">AK297+AL298</f>
        <v>385</v>
      </c>
      <c r="AM297" s="195">
        <f t="shared" ref="AM297:AM305" si="93">AJ297*AL297</f>
        <v>7700000</v>
      </c>
      <c r="AN297" s="195"/>
    </row>
    <row r="298" spans="16:44">
      <c r="Q298" s="99" t="s">
        <v>4665</v>
      </c>
      <c r="R298" s="95">
        <v>2145814</v>
      </c>
      <c r="T298" s="213" t="s">
        <v>5218</v>
      </c>
      <c r="U298" s="213">
        <v>-413</v>
      </c>
      <c r="V298" s="113">
        <v>483.40199999999999</v>
      </c>
      <c r="W298" s="113">
        <f t="shared" si="86"/>
        <v>-199645.02599999998</v>
      </c>
      <c r="X298" s="36" t="s">
        <v>4435</v>
      </c>
      <c r="AH298" s="195">
        <v>48</v>
      </c>
      <c r="AI298" s="195" t="s">
        <v>4834</v>
      </c>
      <c r="AJ298" s="196">
        <v>30000000</v>
      </c>
      <c r="AK298" s="195">
        <v>27</v>
      </c>
      <c r="AL298" s="195">
        <f t="shared" si="92"/>
        <v>381</v>
      </c>
      <c r="AM298" s="195">
        <f t="shared" si="93"/>
        <v>11430000000</v>
      </c>
      <c r="AN298" s="195" t="s">
        <v>4835</v>
      </c>
    </row>
    <row r="299" spans="16:44">
      <c r="Q299" s="99" t="s">
        <v>4676</v>
      </c>
      <c r="R299" s="95">
        <v>4369730</v>
      </c>
      <c r="T299" s="213" t="s">
        <v>5218</v>
      </c>
      <c r="U299" s="213">
        <v>413</v>
      </c>
      <c r="V299" s="113">
        <v>483.40199999999999</v>
      </c>
      <c r="W299" s="113">
        <f t="shared" si="86"/>
        <v>199645.02599999998</v>
      </c>
      <c r="X299" s="36" t="s">
        <v>749</v>
      </c>
      <c r="AH299" s="20">
        <v>49</v>
      </c>
      <c r="AI299" s="20" t="s">
        <v>4910</v>
      </c>
      <c r="AJ299" s="117">
        <v>1100000</v>
      </c>
      <c r="AK299" s="20">
        <v>1</v>
      </c>
      <c r="AL299" s="20">
        <f t="shared" si="92"/>
        <v>354</v>
      </c>
      <c r="AM299" s="20">
        <f t="shared" si="93"/>
        <v>389400000</v>
      </c>
      <c r="AN299" s="20"/>
    </row>
    <row r="300" spans="16:44">
      <c r="Q300" s="99" t="s">
        <v>4678</v>
      </c>
      <c r="R300" s="95">
        <v>8739459</v>
      </c>
      <c r="T300" s="213" t="s">
        <v>5223</v>
      </c>
      <c r="U300" s="213">
        <v>-828</v>
      </c>
      <c r="V300" s="113">
        <v>483.43312200000003</v>
      </c>
      <c r="W300" s="113">
        <f t="shared" si="86"/>
        <v>-400282.62501600001</v>
      </c>
      <c r="X300" s="36" t="s">
        <v>452</v>
      </c>
      <c r="AH300" s="20">
        <v>50</v>
      </c>
      <c r="AI300" s="20" t="s">
        <v>4912</v>
      </c>
      <c r="AJ300" s="117">
        <v>450000</v>
      </c>
      <c r="AK300" s="20">
        <v>0</v>
      </c>
      <c r="AL300" s="20">
        <f t="shared" si="92"/>
        <v>353</v>
      </c>
      <c r="AM300" s="20">
        <f t="shared" si="93"/>
        <v>158850000</v>
      </c>
      <c r="AN300" s="20"/>
      <c r="AR300" t="s">
        <v>25</v>
      </c>
    </row>
    <row r="301" spans="16:44">
      <c r="Q301" s="99" t="s">
        <v>4687</v>
      </c>
      <c r="R301" s="95">
        <v>6667654</v>
      </c>
      <c r="T301" s="213" t="s">
        <v>5226</v>
      </c>
      <c r="U301" s="213">
        <v>12</v>
      </c>
      <c r="V301" s="113">
        <v>473.61898300000001</v>
      </c>
      <c r="W301" s="113">
        <f t="shared" si="86"/>
        <v>5683.4277959999999</v>
      </c>
      <c r="X301" s="36" t="s">
        <v>452</v>
      </c>
      <c r="AH301" s="149">
        <v>51</v>
      </c>
      <c r="AI301" s="149" t="s">
        <v>4912</v>
      </c>
      <c r="AJ301" s="188">
        <v>550000</v>
      </c>
      <c r="AK301" s="149">
        <v>1</v>
      </c>
      <c r="AL301" s="149">
        <f t="shared" si="92"/>
        <v>353</v>
      </c>
      <c r="AM301" s="149">
        <f t="shared" si="93"/>
        <v>194150000</v>
      </c>
      <c r="AN301" s="149"/>
    </row>
    <row r="302" spans="16:44">
      <c r="Q302" s="99" t="s">
        <v>3680</v>
      </c>
      <c r="R302" s="95">
        <v>8981245</v>
      </c>
      <c r="T302" s="213" t="s">
        <v>5229</v>
      </c>
      <c r="U302" s="213">
        <v>963</v>
      </c>
      <c r="V302" s="113">
        <v>477.92200000000003</v>
      </c>
      <c r="W302" s="113">
        <f t="shared" si="86"/>
        <v>460238.886</v>
      </c>
      <c r="X302" s="36" t="s">
        <v>452</v>
      </c>
      <c r="Y302" t="s">
        <v>25</v>
      </c>
      <c r="AH302" s="149">
        <v>52</v>
      </c>
      <c r="AI302" s="149" t="s">
        <v>4914</v>
      </c>
      <c r="AJ302" s="188">
        <v>1000000</v>
      </c>
      <c r="AK302" s="149">
        <v>8</v>
      </c>
      <c r="AL302" s="149">
        <f t="shared" si="92"/>
        <v>352</v>
      </c>
      <c r="AM302" s="149">
        <f t="shared" si="93"/>
        <v>352000000</v>
      </c>
      <c r="AN302" s="149"/>
    </row>
    <row r="303" spans="16:44">
      <c r="Q303" s="99" t="s">
        <v>4699</v>
      </c>
      <c r="R303" s="95">
        <v>9181756</v>
      </c>
      <c r="T303" s="213" t="s">
        <v>5230</v>
      </c>
      <c r="U303" s="213">
        <v>2815</v>
      </c>
      <c r="V303" s="113">
        <v>461.79</v>
      </c>
      <c r="W303" s="113">
        <f t="shared" si="86"/>
        <v>1299938.8500000001</v>
      </c>
      <c r="X303" s="36" t="s">
        <v>452</v>
      </c>
      <c r="Y303" t="s">
        <v>25</v>
      </c>
      <c r="AH303" s="20">
        <v>53</v>
      </c>
      <c r="AI303" s="20" t="s">
        <v>4924</v>
      </c>
      <c r="AJ303" s="117">
        <v>-2668880</v>
      </c>
      <c r="AK303" s="20">
        <v>0</v>
      </c>
      <c r="AL303" s="20">
        <f t="shared" si="92"/>
        <v>344</v>
      </c>
      <c r="AM303" s="20">
        <f t="shared" si="93"/>
        <v>-918094720</v>
      </c>
      <c r="AN303" s="20" t="s">
        <v>4926</v>
      </c>
    </row>
    <row r="304" spans="16:44">
      <c r="Q304" s="99" t="s">
        <v>4702</v>
      </c>
      <c r="R304" s="95">
        <v>11811208</v>
      </c>
      <c r="T304" s="213" t="s">
        <v>5230</v>
      </c>
      <c r="U304" s="213">
        <v>1581</v>
      </c>
      <c r="V304" s="113">
        <v>461.79</v>
      </c>
      <c r="W304" s="113">
        <f t="shared" si="86"/>
        <v>730089.99</v>
      </c>
      <c r="X304" s="36" t="s">
        <v>452</v>
      </c>
      <c r="AH304" s="149">
        <v>54</v>
      </c>
      <c r="AI304" s="149" t="s">
        <v>4924</v>
      </c>
      <c r="AJ304" s="188">
        <v>-1528620</v>
      </c>
      <c r="AK304" s="149">
        <v>0</v>
      </c>
      <c r="AL304" s="149">
        <f t="shared" si="92"/>
        <v>344</v>
      </c>
      <c r="AM304" s="149">
        <f t="shared" si="93"/>
        <v>-525845280</v>
      </c>
      <c r="AN304" s="149" t="s">
        <v>4926</v>
      </c>
    </row>
    <row r="305" spans="16:40">
      <c r="Q305" s="99" t="s">
        <v>4716</v>
      </c>
      <c r="R305" s="95">
        <v>41248054</v>
      </c>
      <c r="T305" s="189" t="s">
        <v>5238</v>
      </c>
      <c r="U305" s="189">
        <v>1916</v>
      </c>
      <c r="V305" s="188">
        <v>521.70000000000005</v>
      </c>
      <c r="W305" s="188">
        <f t="shared" si="86"/>
        <v>999577.20000000007</v>
      </c>
      <c r="X305" s="279" t="s">
        <v>5346</v>
      </c>
      <c r="AH305" s="20">
        <v>55</v>
      </c>
      <c r="AI305" s="20" t="s">
        <v>4924</v>
      </c>
      <c r="AJ305" s="117">
        <v>50000000</v>
      </c>
      <c r="AK305" s="20">
        <v>4</v>
      </c>
      <c r="AL305" s="20">
        <f t="shared" si="92"/>
        <v>344</v>
      </c>
      <c r="AM305" s="20">
        <f t="shared" si="93"/>
        <v>17200000000</v>
      </c>
      <c r="AN305" s="20"/>
    </row>
    <row r="306" spans="16:40">
      <c r="Q306" s="99" t="s">
        <v>4723</v>
      </c>
      <c r="R306" s="95">
        <v>37328780</v>
      </c>
      <c r="T306" s="213" t="s">
        <v>989</v>
      </c>
      <c r="U306" s="213">
        <v>41</v>
      </c>
      <c r="V306" s="113">
        <v>514.48099999999999</v>
      </c>
      <c r="W306" s="113">
        <f t="shared" si="86"/>
        <v>21093.721000000001</v>
      </c>
      <c r="X306" s="36" t="s">
        <v>5215</v>
      </c>
      <c r="AH306" s="20">
        <v>56</v>
      </c>
      <c r="AI306" s="20" t="s">
        <v>4930</v>
      </c>
      <c r="AJ306" s="117">
        <v>400000</v>
      </c>
      <c r="AK306" s="20">
        <v>4</v>
      </c>
      <c r="AL306" s="20">
        <f t="shared" ref="AL306:AL315" si="94">AK306+AL307</f>
        <v>340</v>
      </c>
      <c r="AM306" s="20">
        <f t="shared" ref="AM306:AM315" si="95">AJ306*AL306</f>
        <v>136000000</v>
      </c>
      <c r="AN306" s="20"/>
    </row>
    <row r="307" spans="16:40">
      <c r="P307" t="s">
        <v>25</v>
      </c>
      <c r="Q307" s="99" t="s">
        <v>4729</v>
      </c>
      <c r="R307" s="95">
        <v>50000000</v>
      </c>
      <c r="T307" s="213" t="s">
        <v>4271</v>
      </c>
      <c r="U307" s="213">
        <v>71</v>
      </c>
      <c r="V307" s="113">
        <v>482.57</v>
      </c>
      <c r="W307" s="113">
        <f t="shared" si="86"/>
        <v>34262.47</v>
      </c>
      <c r="X307" s="36" t="s">
        <v>5215</v>
      </c>
      <c r="AH307" s="20">
        <v>57</v>
      </c>
      <c r="AI307" s="20" t="s">
        <v>4942</v>
      </c>
      <c r="AJ307" s="117">
        <v>2000000</v>
      </c>
      <c r="AK307" s="20">
        <v>3</v>
      </c>
      <c r="AL307" s="20">
        <f t="shared" si="94"/>
        <v>336</v>
      </c>
      <c r="AM307" s="20">
        <f t="shared" si="95"/>
        <v>672000000</v>
      </c>
      <c r="AN307" s="20"/>
    </row>
    <row r="308" spans="16:40">
      <c r="P308" t="s">
        <v>25</v>
      </c>
      <c r="Q308" s="99" t="s">
        <v>4791</v>
      </c>
      <c r="R308" s="95">
        <v>68656</v>
      </c>
      <c r="T308" s="213" t="s">
        <v>5253</v>
      </c>
      <c r="U308" s="213">
        <v>-250</v>
      </c>
      <c r="V308" s="113">
        <v>487.125</v>
      </c>
      <c r="W308" s="113">
        <f t="shared" si="86"/>
        <v>-121781.25</v>
      </c>
      <c r="X308" s="36" t="s">
        <v>4435</v>
      </c>
      <c r="AH308" s="20">
        <v>58</v>
      </c>
      <c r="AI308" s="20" t="s">
        <v>4945</v>
      </c>
      <c r="AJ308" s="117">
        <v>100000</v>
      </c>
      <c r="AK308" s="20">
        <v>4</v>
      </c>
      <c r="AL308" s="20">
        <f t="shared" si="94"/>
        <v>333</v>
      </c>
      <c r="AM308" s="20">
        <f t="shared" si="95"/>
        <v>33300000</v>
      </c>
      <c r="AN308" s="20" t="s">
        <v>3887</v>
      </c>
    </row>
    <row r="309" spans="16:40">
      <c r="Q309" s="99" t="s">
        <v>4800</v>
      </c>
      <c r="R309" s="95">
        <v>4000236</v>
      </c>
      <c r="T309" s="213" t="s">
        <v>5253</v>
      </c>
      <c r="U309" s="213">
        <v>250</v>
      </c>
      <c r="V309" s="113">
        <v>487.125</v>
      </c>
      <c r="W309" s="113">
        <f t="shared" si="86"/>
        <v>121781.25</v>
      </c>
      <c r="X309" s="36" t="s">
        <v>749</v>
      </c>
      <c r="AH309" s="20">
        <v>59</v>
      </c>
      <c r="AI309" s="20" t="s">
        <v>4956</v>
      </c>
      <c r="AJ309" s="117">
        <v>100000</v>
      </c>
      <c r="AK309" s="20">
        <v>7</v>
      </c>
      <c r="AL309" s="20">
        <f t="shared" si="94"/>
        <v>329</v>
      </c>
      <c r="AM309" s="20">
        <f t="shared" si="95"/>
        <v>32900000</v>
      </c>
      <c r="AN309" s="20"/>
    </row>
    <row r="310" spans="16:40">
      <c r="Q310" s="99" t="s">
        <v>4800</v>
      </c>
      <c r="R310" s="95">
        <v>2250000</v>
      </c>
      <c r="T310" s="213" t="s">
        <v>5261</v>
      </c>
      <c r="U310" s="213">
        <v>-1439</v>
      </c>
      <c r="V310" s="113">
        <v>486.53068999999999</v>
      </c>
      <c r="W310" s="113">
        <f t="shared" si="86"/>
        <v>-700117.66290999996</v>
      </c>
      <c r="X310" s="36" t="s">
        <v>4435</v>
      </c>
      <c r="AH310" s="20">
        <v>60</v>
      </c>
      <c r="AI310" s="20" t="s">
        <v>4971</v>
      </c>
      <c r="AJ310" s="117">
        <v>50000</v>
      </c>
      <c r="AK310" s="20">
        <v>0</v>
      </c>
      <c r="AL310" s="20">
        <f t="shared" si="94"/>
        <v>322</v>
      </c>
      <c r="AM310" s="20">
        <f t="shared" si="95"/>
        <v>16100000</v>
      </c>
      <c r="AN310" s="20"/>
    </row>
    <row r="311" spans="16:40">
      <c r="Q311" s="99" t="s">
        <v>4805</v>
      </c>
      <c r="R311" s="95">
        <v>-2512200</v>
      </c>
      <c r="T311" s="213" t="s">
        <v>5261</v>
      </c>
      <c r="U311" s="213">
        <v>411</v>
      </c>
      <c r="V311" s="113">
        <v>486.53068999999999</v>
      </c>
      <c r="W311" s="113">
        <f t="shared" si="86"/>
        <v>199964.11358999999</v>
      </c>
      <c r="X311" s="36" t="s">
        <v>749</v>
      </c>
      <c r="AH311" s="149">
        <v>61</v>
      </c>
      <c r="AI311" s="149" t="s">
        <v>4971</v>
      </c>
      <c r="AJ311" s="188">
        <v>50000</v>
      </c>
      <c r="AK311" s="149">
        <v>3</v>
      </c>
      <c r="AL311" s="149">
        <f t="shared" si="94"/>
        <v>322</v>
      </c>
      <c r="AM311" s="149">
        <f t="shared" si="95"/>
        <v>16100000</v>
      </c>
      <c r="AN311" s="149"/>
    </row>
    <row r="312" spans="16:40">
      <c r="Q312" s="99" t="s">
        <v>4814</v>
      </c>
      <c r="R312" s="95">
        <v>300000</v>
      </c>
      <c r="T312" s="213" t="s">
        <v>5228</v>
      </c>
      <c r="U312" s="213">
        <v>-4290</v>
      </c>
      <c r="V312" s="113">
        <v>497.57670000000002</v>
      </c>
      <c r="W312" s="113">
        <f t="shared" si="86"/>
        <v>-2134604.0430000001</v>
      </c>
      <c r="X312" s="36" t="s">
        <v>452</v>
      </c>
      <c r="AH312" s="20">
        <v>62</v>
      </c>
      <c r="AI312" s="20" t="s">
        <v>4976</v>
      </c>
      <c r="AJ312" s="117">
        <v>50000</v>
      </c>
      <c r="AK312" s="20">
        <v>0</v>
      </c>
      <c r="AL312" s="20">
        <f t="shared" si="94"/>
        <v>319</v>
      </c>
      <c r="AM312" s="20">
        <f t="shared" si="95"/>
        <v>15950000</v>
      </c>
      <c r="AN312" s="20"/>
    </row>
    <row r="313" spans="16:40">
      <c r="Q313" s="99" t="s">
        <v>978</v>
      </c>
      <c r="R313" s="95">
        <v>1100000</v>
      </c>
      <c r="S313" s="114"/>
      <c r="T313" s="213" t="s">
        <v>5270</v>
      </c>
      <c r="U313" s="213">
        <v>-644</v>
      </c>
      <c r="V313" s="113">
        <v>494.76464499999997</v>
      </c>
      <c r="W313" s="113">
        <f t="shared" si="86"/>
        <v>-318628.43137999997</v>
      </c>
      <c r="X313" s="36" t="s">
        <v>452</v>
      </c>
      <c r="AH313" s="195">
        <v>63</v>
      </c>
      <c r="AI313" s="195" t="s">
        <v>4976</v>
      </c>
      <c r="AJ313" s="196">
        <v>50000</v>
      </c>
      <c r="AK313" s="195">
        <v>2</v>
      </c>
      <c r="AL313" s="195">
        <f t="shared" si="94"/>
        <v>319</v>
      </c>
      <c r="AM313" s="195">
        <f t="shared" si="95"/>
        <v>15950000</v>
      </c>
      <c r="AN313" s="195"/>
    </row>
    <row r="314" spans="16:40">
      <c r="Q314" s="99" t="s">
        <v>4821</v>
      </c>
      <c r="R314" s="95">
        <v>890000</v>
      </c>
      <c r="T314" s="213" t="s">
        <v>5273</v>
      </c>
      <c r="U314" s="213">
        <v>-112</v>
      </c>
      <c r="V314" s="113">
        <v>485.78</v>
      </c>
      <c r="W314" s="113">
        <f t="shared" si="86"/>
        <v>-54407.360000000001</v>
      </c>
      <c r="X314" s="36" t="s">
        <v>452</v>
      </c>
      <c r="AH314" s="20">
        <v>64</v>
      </c>
      <c r="AI314" s="20" t="s">
        <v>4985</v>
      </c>
      <c r="AJ314" s="117">
        <v>25000</v>
      </c>
      <c r="AK314" s="20">
        <v>0</v>
      </c>
      <c r="AL314" s="20">
        <f t="shared" si="94"/>
        <v>317</v>
      </c>
      <c r="AM314" s="20">
        <f t="shared" si="95"/>
        <v>7925000</v>
      </c>
      <c r="AN314" s="20"/>
    </row>
    <row r="315" spans="16:40">
      <c r="Q315" s="99" t="s">
        <v>4841</v>
      </c>
      <c r="R315" s="95">
        <v>1000000</v>
      </c>
      <c r="T315" s="213" t="s">
        <v>5273</v>
      </c>
      <c r="U315" s="213">
        <v>123</v>
      </c>
      <c r="V315" s="113">
        <v>485.78</v>
      </c>
      <c r="W315" s="113">
        <f t="shared" si="86"/>
        <v>59750.939999999995</v>
      </c>
      <c r="X315" s="36" t="s">
        <v>749</v>
      </c>
      <c r="AH315" s="149">
        <v>65</v>
      </c>
      <c r="AI315" s="149" t="s">
        <v>4985</v>
      </c>
      <c r="AJ315" s="188">
        <v>35000</v>
      </c>
      <c r="AK315" s="149">
        <v>7</v>
      </c>
      <c r="AL315" s="149">
        <f t="shared" si="94"/>
        <v>317</v>
      </c>
      <c r="AM315" s="149">
        <f t="shared" si="95"/>
        <v>11095000</v>
      </c>
      <c r="AN315" s="149"/>
    </row>
    <row r="316" spans="16:40">
      <c r="Q316" s="99" t="s">
        <v>4842</v>
      </c>
      <c r="R316" s="95">
        <v>45436311</v>
      </c>
      <c r="T316" s="213" t="s">
        <v>5273</v>
      </c>
      <c r="U316" s="213">
        <v>-123</v>
      </c>
      <c r="V316" s="113">
        <v>485.78</v>
      </c>
      <c r="W316" s="113">
        <f t="shared" si="86"/>
        <v>-59750.939999999995</v>
      </c>
      <c r="X316" s="36" t="s">
        <v>4435</v>
      </c>
      <c r="AH316" s="149">
        <v>66</v>
      </c>
      <c r="AI316" s="149" t="s">
        <v>4995</v>
      </c>
      <c r="AJ316" s="188">
        <v>30000000</v>
      </c>
      <c r="AK316" s="149">
        <v>0</v>
      </c>
      <c r="AL316" s="149">
        <f t="shared" ref="AL316:AL335" si="96">AK316+AL317</f>
        <v>310</v>
      </c>
      <c r="AM316" s="149">
        <f t="shared" ref="AM316:AM335" si="97">AJ316*AL316</f>
        <v>9300000000</v>
      </c>
      <c r="AN316" s="149"/>
    </row>
    <row r="317" spans="16:40">
      <c r="Q317" s="99" t="s">
        <v>4842</v>
      </c>
      <c r="R317" s="95">
        <v>-3500000</v>
      </c>
      <c r="T317" s="213" t="s">
        <v>5319</v>
      </c>
      <c r="U317" s="213">
        <v>32367</v>
      </c>
      <c r="V317" s="113">
        <v>556.12900000000002</v>
      </c>
      <c r="W317" s="113">
        <f t="shared" si="86"/>
        <v>18000227.343000002</v>
      </c>
      <c r="X317" s="36" t="s">
        <v>452</v>
      </c>
      <c r="AH317" s="20">
        <v>67</v>
      </c>
      <c r="AI317" s="20" t="s">
        <v>4995</v>
      </c>
      <c r="AJ317" s="117">
        <v>6800000</v>
      </c>
      <c r="AK317" s="20">
        <v>1</v>
      </c>
      <c r="AL317" s="20">
        <f t="shared" si="96"/>
        <v>310</v>
      </c>
      <c r="AM317" s="20">
        <f t="shared" si="97"/>
        <v>2108000000</v>
      </c>
      <c r="AN317" s="20"/>
    </row>
    <row r="318" spans="16:40">
      <c r="Q318" s="99" t="s">
        <v>4855</v>
      </c>
      <c r="R318" s="95">
        <v>2520000</v>
      </c>
      <c r="T318" s="213" t="s">
        <v>5335</v>
      </c>
      <c r="U318" s="213">
        <v>1254</v>
      </c>
      <c r="V318" s="113">
        <v>558.24400000000003</v>
      </c>
      <c r="W318" s="113">
        <f t="shared" si="86"/>
        <v>700037.97600000002</v>
      </c>
      <c r="X318" s="36" t="s">
        <v>4435</v>
      </c>
      <c r="Y318" t="s">
        <v>25</v>
      </c>
      <c r="AH318" s="20">
        <v>68</v>
      </c>
      <c r="AI318" s="20" t="s">
        <v>5000</v>
      </c>
      <c r="AJ318" s="117">
        <v>500000</v>
      </c>
      <c r="AK318" s="20">
        <v>1</v>
      </c>
      <c r="AL318" s="20">
        <f t="shared" si="96"/>
        <v>309</v>
      </c>
      <c r="AM318" s="20">
        <f t="shared" si="97"/>
        <v>154500000</v>
      </c>
      <c r="AN318" s="20"/>
    </row>
    <row r="319" spans="16:40">
      <c r="Q319" s="99" t="s">
        <v>4890</v>
      </c>
      <c r="R319" s="95">
        <v>4900000</v>
      </c>
      <c r="T319" s="168" t="s">
        <v>5335</v>
      </c>
      <c r="U319" s="213">
        <v>-358</v>
      </c>
      <c r="V319" s="113">
        <v>558.24400000000003</v>
      </c>
      <c r="W319" s="113">
        <f t="shared" si="86"/>
        <v>-199851.35200000001</v>
      </c>
      <c r="X319" s="36" t="s">
        <v>749</v>
      </c>
      <c r="AH319" s="20">
        <v>69</v>
      </c>
      <c r="AI319" s="20" t="s">
        <v>5007</v>
      </c>
      <c r="AJ319" s="117">
        <v>850000</v>
      </c>
      <c r="AK319" s="20">
        <v>5</v>
      </c>
      <c r="AL319" s="20">
        <f t="shared" si="96"/>
        <v>308</v>
      </c>
      <c r="AM319" s="20">
        <f t="shared" si="97"/>
        <v>261800000</v>
      </c>
      <c r="AN319" s="20"/>
    </row>
    <row r="320" spans="16:40">
      <c r="Q320" s="99" t="s">
        <v>4910</v>
      </c>
      <c r="R320" s="95">
        <v>1150000</v>
      </c>
      <c r="T320" s="189" t="s">
        <v>5344</v>
      </c>
      <c r="U320" s="189">
        <v>-3326</v>
      </c>
      <c r="V320" s="188">
        <v>601.39300000000003</v>
      </c>
      <c r="W320" s="188">
        <f t="shared" si="86"/>
        <v>-2000233.118</v>
      </c>
      <c r="X320" s="279" t="s">
        <v>5181</v>
      </c>
      <c r="AH320" s="20">
        <v>70</v>
      </c>
      <c r="AI320" s="20" t="s">
        <v>5017</v>
      </c>
      <c r="AJ320" s="117">
        <v>1130250</v>
      </c>
      <c r="AK320" s="20">
        <v>0</v>
      </c>
      <c r="AL320" s="20">
        <f t="shared" si="96"/>
        <v>303</v>
      </c>
      <c r="AM320" s="20">
        <f t="shared" si="97"/>
        <v>342465750</v>
      </c>
      <c r="AN320" s="20"/>
    </row>
    <row r="321" spans="17:44">
      <c r="Q321" s="99" t="s">
        <v>4862</v>
      </c>
      <c r="R321" s="95">
        <v>250000</v>
      </c>
      <c r="T321" s="189" t="s">
        <v>5347</v>
      </c>
      <c r="U321" s="189">
        <v>3326</v>
      </c>
      <c r="V321" s="188">
        <v>601.39300000000003</v>
      </c>
      <c r="W321" s="188">
        <f t="shared" si="86"/>
        <v>2000233.118</v>
      </c>
      <c r="X321" s="279" t="s">
        <v>5181</v>
      </c>
      <c r="AH321" s="256">
        <v>71</v>
      </c>
      <c r="AI321" s="256" t="s">
        <v>5017</v>
      </c>
      <c r="AJ321" s="247">
        <v>30000</v>
      </c>
      <c r="AK321" s="256">
        <v>5</v>
      </c>
      <c r="AL321" s="256">
        <f t="shared" si="96"/>
        <v>303</v>
      </c>
      <c r="AM321" s="256">
        <f t="shared" si="97"/>
        <v>9090000</v>
      </c>
      <c r="AN321" s="256"/>
    </row>
    <row r="322" spans="17:44">
      <c r="Q322" s="99" t="s">
        <v>4951</v>
      </c>
      <c r="R322" s="95">
        <v>1403460</v>
      </c>
      <c r="T322" s="189" t="s">
        <v>5360</v>
      </c>
      <c r="U322" s="189">
        <v>63259</v>
      </c>
      <c r="V322" s="188">
        <v>632.31960000000004</v>
      </c>
      <c r="W322" s="188">
        <f t="shared" si="86"/>
        <v>39999905.576400004</v>
      </c>
      <c r="X322" s="279" t="s">
        <v>1083</v>
      </c>
      <c r="AH322" s="20">
        <v>72</v>
      </c>
      <c r="AI322" s="20" t="s">
        <v>5030</v>
      </c>
      <c r="AJ322" s="117">
        <v>206000</v>
      </c>
      <c r="AK322" s="20">
        <v>0</v>
      </c>
      <c r="AL322" s="20">
        <f t="shared" si="96"/>
        <v>298</v>
      </c>
      <c r="AM322" s="20">
        <f t="shared" si="97"/>
        <v>61388000</v>
      </c>
      <c r="AN322" s="20"/>
    </row>
    <row r="323" spans="17:44">
      <c r="Q323" s="99" t="s">
        <v>4956</v>
      </c>
      <c r="R323" s="95">
        <v>200000</v>
      </c>
      <c r="T323" s="19" t="s">
        <v>5365</v>
      </c>
      <c r="U323" s="19">
        <v>-1278</v>
      </c>
      <c r="V323" s="117">
        <v>625.98</v>
      </c>
      <c r="W323" s="117">
        <f t="shared" si="86"/>
        <v>-800002.44000000006</v>
      </c>
      <c r="X323" s="280" t="s">
        <v>5366</v>
      </c>
      <c r="AH323" s="149">
        <v>73</v>
      </c>
      <c r="AI323" s="149" t="s">
        <v>5030</v>
      </c>
      <c r="AJ323" s="188">
        <v>206000</v>
      </c>
      <c r="AK323" s="149">
        <v>2</v>
      </c>
      <c r="AL323" s="149">
        <f t="shared" si="96"/>
        <v>298</v>
      </c>
      <c r="AM323" s="149">
        <f t="shared" si="97"/>
        <v>61388000</v>
      </c>
      <c r="AN323" s="149"/>
    </row>
    <row r="324" spans="17:44">
      <c r="Q324" s="99" t="s">
        <v>4962</v>
      </c>
      <c r="R324" s="95">
        <v>345000</v>
      </c>
      <c r="T324" s="19" t="s">
        <v>5372</v>
      </c>
      <c r="U324" s="19">
        <v>32049</v>
      </c>
      <c r="V324" s="117">
        <v>624.04600000000005</v>
      </c>
      <c r="W324" s="117">
        <f t="shared" si="86"/>
        <v>20000050.254000001</v>
      </c>
      <c r="X324" s="280" t="s">
        <v>5220</v>
      </c>
      <c r="Y324" t="s">
        <v>25</v>
      </c>
      <c r="AH324" s="20">
        <v>74</v>
      </c>
      <c r="AI324" s="20" t="s">
        <v>5037</v>
      </c>
      <c r="AJ324" s="117">
        <v>50000</v>
      </c>
      <c r="AK324" s="20">
        <v>0</v>
      </c>
      <c r="AL324" s="20">
        <f t="shared" si="96"/>
        <v>296</v>
      </c>
      <c r="AM324" s="20">
        <f t="shared" si="97"/>
        <v>14800000</v>
      </c>
      <c r="AN324" s="20"/>
    </row>
    <row r="325" spans="17:44" ht="30">
      <c r="Q325" s="99" t="s">
        <v>4967</v>
      </c>
      <c r="R325" s="95">
        <v>900000</v>
      </c>
      <c r="T325" s="19" t="s">
        <v>5383</v>
      </c>
      <c r="U325" s="19">
        <v>45094</v>
      </c>
      <c r="V325" s="117">
        <v>614.13559759999998</v>
      </c>
      <c r="W325" s="117">
        <f t="shared" si="86"/>
        <v>27693830.6381744</v>
      </c>
      <c r="X325" s="280" t="s">
        <v>5385</v>
      </c>
      <c r="AH325" s="256">
        <v>75</v>
      </c>
      <c r="AI325" s="256" t="s">
        <v>5037</v>
      </c>
      <c r="AJ325" s="247">
        <v>50000</v>
      </c>
      <c r="AK325" s="256">
        <v>2</v>
      </c>
      <c r="AL325" s="256">
        <f t="shared" si="96"/>
        <v>296</v>
      </c>
      <c r="AM325" s="256">
        <f t="shared" si="97"/>
        <v>14800000</v>
      </c>
      <c r="AN325" s="256"/>
    </row>
    <row r="326" spans="17:44" ht="30">
      <c r="Q326" s="99" t="s">
        <v>4971</v>
      </c>
      <c r="R326" s="95">
        <v>372517</v>
      </c>
      <c r="T326" s="19" t="s">
        <v>5415</v>
      </c>
      <c r="U326" s="19">
        <v>-11804</v>
      </c>
      <c r="V326" s="117">
        <v>762.46640000000002</v>
      </c>
      <c r="W326" s="117">
        <f t="shared" si="86"/>
        <v>-9000153.3856000006</v>
      </c>
      <c r="X326" s="280" t="s">
        <v>5417</v>
      </c>
      <c r="AH326" s="20">
        <v>76</v>
      </c>
      <c r="AI326" s="20" t="s">
        <v>5042</v>
      </c>
      <c r="AJ326" s="117">
        <v>20000000</v>
      </c>
      <c r="AK326" s="20">
        <v>7</v>
      </c>
      <c r="AL326" s="20">
        <f t="shared" si="96"/>
        <v>294</v>
      </c>
      <c r="AM326" s="20">
        <f t="shared" si="97"/>
        <v>5880000000</v>
      </c>
      <c r="AN326" s="20" t="s">
        <v>5043</v>
      </c>
    </row>
    <row r="327" spans="17:44">
      <c r="Q327" s="99" t="s">
        <v>4982</v>
      </c>
      <c r="R327" s="95">
        <v>6489257</v>
      </c>
      <c r="T327" s="19" t="s">
        <v>5460</v>
      </c>
      <c r="U327" s="19">
        <v>844</v>
      </c>
      <c r="V327" s="117">
        <v>830</v>
      </c>
      <c r="W327" s="117">
        <f t="shared" si="86"/>
        <v>700520</v>
      </c>
      <c r="X327" s="280" t="s">
        <v>4435</v>
      </c>
      <c r="AH327" s="20">
        <v>77</v>
      </c>
      <c r="AI327" s="20" t="s">
        <v>5053</v>
      </c>
      <c r="AJ327" s="117">
        <v>50000</v>
      </c>
      <c r="AK327" s="20">
        <v>0</v>
      </c>
      <c r="AL327" s="20">
        <f t="shared" si="96"/>
        <v>287</v>
      </c>
      <c r="AM327" s="20">
        <f t="shared" si="97"/>
        <v>14350000</v>
      </c>
      <c r="AN327" s="20"/>
    </row>
    <row r="328" spans="17:44">
      <c r="Q328" s="99" t="s">
        <v>5030</v>
      </c>
      <c r="R328" s="95">
        <v>618000</v>
      </c>
      <c r="T328" s="19" t="s">
        <v>5464</v>
      </c>
      <c r="U328" s="19">
        <v>8662</v>
      </c>
      <c r="V328" s="117">
        <v>832.57011999999997</v>
      </c>
      <c r="W328" s="117">
        <f t="shared" si="86"/>
        <v>7211722.3794399993</v>
      </c>
      <c r="X328" s="280" t="s">
        <v>5215</v>
      </c>
      <c r="AH328" s="149">
        <v>78</v>
      </c>
      <c r="AI328" s="149" t="s">
        <v>5053</v>
      </c>
      <c r="AJ328" s="188">
        <v>50000</v>
      </c>
      <c r="AK328" s="149">
        <v>7</v>
      </c>
      <c r="AL328" s="149">
        <f t="shared" si="96"/>
        <v>287</v>
      </c>
      <c r="AM328" s="149">
        <f t="shared" si="97"/>
        <v>14350000</v>
      </c>
      <c r="AN328" s="149"/>
    </row>
    <row r="329" spans="17:44" ht="30">
      <c r="Q329" s="99" t="s">
        <v>5042</v>
      </c>
      <c r="R329" s="95">
        <v>20105000</v>
      </c>
      <c r="T329" s="19" t="s">
        <v>5465</v>
      </c>
      <c r="U329" s="19">
        <v>10253</v>
      </c>
      <c r="V329" s="117">
        <v>827.2568</v>
      </c>
      <c r="W329" s="117">
        <f t="shared" si="86"/>
        <v>8481863.9704</v>
      </c>
      <c r="X329" s="280" t="s">
        <v>5472</v>
      </c>
      <c r="AH329" s="20">
        <v>79</v>
      </c>
      <c r="AI329" s="20" t="s">
        <v>5059</v>
      </c>
      <c r="AJ329" s="117">
        <v>2480000</v>
      </c>
      <c r="AK329" s="20">
        <v>0</v>
      </c>
      <c r="AL329" s="20">
        <f t="shared" si="96"/>
        <v>280</v>
      </c>
      <c r="AM329" s="20">
        <f t="shared" si="97"/>
        <v>694400000</v>
      </c>
      <c r="AN329" s="20"/>
    </row>
    <row r="330" spans="17:44">
      <c r="Q330" s="99" t="s">
        <v>5046</v>
      </c>
      <c r="R330" s="95">
        <v>-21079990</v>
      </c>
      <c r="T330" s="246" t="s">
        <v>5473</v>
      </c>
      <c r="U330" s="246">
        <v>-33077</v>
      </c>
      <c r="V330" s="247">
        <v>786.02973999999995</v>
      </c>
      <c r="W330" s="247">
        <f t="shared" si="86"/>
        <v>-25999505.70998</v>
      </c>
      <c r="X330" s="289" t="s">
        <v>5476</v>
      </c>
      <c r="AH330" s="149">
        <v>80</v>
      </c>
      <c r="AI330" s="149" t="s">
        <v>5059</v>
      </c>
      <c r="AJ330" s="188">
        <v>2480000</v>
      </c>
      <c r="AK330" s="149">
        <v>12</v>
      </c>
      <c r="AL330" s="149">
        <f t="shared" si="96"/>
        <v>280</v>
      </c>
      <c r="AM330" s="149">
        <f t="shared" si="97"/>
        <v>694400000</v>
      </c>
      <c r="AN330" s="149"/>
    </row>
    <row r="331" spans="17:44">
      <c r="Q331" s="99" t="s">
        <v>5047</v>
      </c>
      <c r="R331" s="95">
        <v>-5949277</v>
      </c>
      <c r="T331" s="19" t="s">
        <v>5473</v>
      </c>
      <c r="U331" s="19">
        <v>-33077</v>
      </c>
      <c r="V331" s="117">
        <v>786.02973999999995</v>
      </c>
      <c r="W331" s="117">
        <f t="shared" si="86"/>
        <v>-25999505.70998</v>
      </c>
      <c r="X331" s="280" t="s">
        <v>5477</v>
      </c>
      <c r="AH331" s="20">
        <v>81</v>
      </c>
      <c r="AI331" s="20" t="s">
        <v>5066</v>
      </c>
      <c r="AJ331" s="117">
        <v>-24159500</v>
      </c>
      <c r="AK331" s="20">
        <v>4</v>
      </c>
      <c r="AL331" s="20">
        <f t="shared" si="96"/>
        <v>268</v>
      </c>
      <c r="AM331" s="20">
        <f t="shared" si="97"/>
        <v>-6474746000</v>
      </c>
      <c r="AN331" s="20" t="s">
        <v>5074</v>
      </c>
    </row>
    <row r="332" spans="17:44">
      <c r="Q332" s="99" t="s">
        <v>5053</v>
      </c>
      <c r="R332" s="95">
        <v>-15370656</v>
      </c>
      <c r="T332" s="19" t="s">
        <v>5473</v>
      </c>
      <c r="U332" s="19">
        <v>1983</v>
      </c>
      <c r="V332" s="117">
        <v>786.02973999999995</v>
      </c>
      <c r="W332" s="117">
        <f t="shared" si="86"/>
        <v>1558696.9744199999</v>
      </c>
      <c r="X332" s="280" t="s">
        <v>5215</v>
      </c>
      <c r="Z332" t="s">
        <v>25</v>
      </c>
      <c r="AH332" s="20">
        <v>82</v>
      </c>
      <c r="AI332" s="20" t="s">
        <v>5076</v>
      </c>
      <c r="AJ332" s="117">
        <v>400000</v>
      </c>
      <c r="AK332" s="20">
        <v>3</v>
      </c>
      <c r="AL332" s="20">
        <f t="shared" si="96"/>
        <v>264</v>
      </c>
      <c r="AM332" s="20">
        <f t="shared" si="97"/>
        <v>105600000</v>
      </c>
      <c r="AN332" s="20"/>
      <c r="AR332" t="s">
        <v>25</v>
      </c>
    </row>
    <row r="333" spans="17:44">
      <c r="Q333" s="99" t="s">
        <v>5059</v>
      </c>
      <c r="R333" s="95">
        <v>4960000</v>
      </c>
      <c r="T333" s="246" t="s">
        <v>5478</v>
      </c>
      <c r="U333" s="246">
        <v>-119753</v>
      </c>
      <c r="V333" s="247">
        <v>800.81560000000002</v>
      </c>
      <c r="W333" s="247">
        <f t="shared" si="86"/>
        <v>-95900070.546800002</v>
      </c>
      <c r="X333" s="289" t="s">
        <v>5476</v>
      </c>
      <c r="AH333" s="149">
        <v>83</v>
      </c>
      <c r="AI333" s="149" t="s">
        <v>5083</v>
      </c>
      <c r="AJ333" s="188">
        <v>40000</v>
      </c>
      <c r="AK333" s="149">
        <v>0</v>
      </c>
      <c r="AL333" s="149">
        <f t="shared" si="96"/>
        <v>261</v>
      </c>
      <c r="AM333" s="149">
        <f t="shared" si="97"/>
        <v>10440000</v>
      </c>
      <c r="AN333" s="149"/>
    </row>
    <row r="334" spans="17:44">
      <c r="Q334" s="99" t="s">
        <v>5059</v>
      </c>
      <c r="R334" s="95">
        <v>10000000</v>
      </c>
      <c r="T334" s="19" t="s">
        <v>5478</v>
      </c>
      <c r="U334" s="19">
        <v>-119753</v>
      </c>
      <c r="V334" s="117">
        <v>800.81560000000002</v>
      </c>
      <c r="W334" s="117">
        <f t="shared" si="86"/>
        <v>-95900070.546800002</v>
      </c>
      <c r="X334" s="280" t="s">
        <v>5477</v>
      </c>
      <c r="AH334" s="20">
        <v>84</v>
      </c>
      <c r="AI334" s="20" t="s">
        <v>5083</v>
      </c>
      <c r="AJ334" s="117">
        <v>40000</v>
      </c>
      <c r="AK334" s="20">
        <v>5</v>
      </c>
      <c r="AL334" s="20">
        <f t="shared" si="96"/>
        <v>261</v>
      </c>
      <c r="AM334" s="20">
        <f t="shared" si="97"/>
        <v>10440000</v>
      </c>
      <c r="AN334" s="20"/>
    </row>
    <row r="335" spans="17:44">
      <c r="Q335" s="99" t="s">
        <v>5066</v>
      </c>
      <c r="R335" s="95">
        <v>-40570100</v>
      </c>
      <c r="T335" s="19" t="s">
        <v>5478</v>
      </c>
      <c r="U335" s="19">
        <v>11291</v>
      </c>
      <c r="V335" s="117">
        <v>800.81560000000002</v>
      </c>
      <c r="W335" s="117">
        <f t="shared" si="86"/>
        <v>9042008.9396000002</v>
      </c>
      <c r="X335" s="280" t="s">
        <v>452</v>
      </c>
      <c r="AH335" s="20">
        <v>85</v>
      </c>
      <c r="AI335" s="20" t="s">
        <v>5095</v>
      </c>
      <c r="AJ335" s="117">
        <v>200000</v>
      </c>
      <c r="AK335" s="20">
        <v>1</v>
      </c>
      <c r="AL335" s="20">
        <f t="shared" si="96"/>
        <v>256</v>
      </c>
      <c r="AM335" s="20">
        <f t="shared" si="97"/>
        <v>51200000</v>
      </c>
      <c r="AN335" s="20"/>
    </row>
    <row r="336" spans="17:44">
      <c r="Q336" s="99" t="s">
        <v>5075</v>
      </c>
      <c r="R336" s="95">
        <v>1000000</v>
      </c>
      <c r="T336" s="189" t="s">
        <v>5479</v>
      </c>
      <c r="U336" s="189">
        <v>-35361</v>
      </c>
      <c r="V336" s="188">
        <v>818.697</v>
      </c>
      <c r="W336" s="188">
        <f t="shared" si="86"/>
        <v>-28949944.616999999</v>
      </c>
      <c r="X336" s="279" t="s">
        <v>5476</v>
      </c>
      <c r="AA336" t="s">
        <v>25</v>
      </c>
      <c r="AH336" s="20">
        <v>86</v>
      </c>
      <c r="AI336" s="20" t="s">
        <v>5099</v>
      </c>
      <c r="AJ336" s="117">
        <v>500000</v>
      </c>
      <c r="AK336" s="20">
        <v>2</v>
      </c>
      <c r="AL336" s="20">
        <f t="shared" ref="AL336:AL397" si="98">AK336+AL337</f>
        <v>255</v>
      </c>
      <c r="AM336" s="20">
        <f t="shared" ref="AM336:AM397" si="99">AJ336*AL336</f>
        <v>127500000</v>
      </c>
      <c r="AN336" s="20"/>
      <c r="AR336" t="s">
        <v>25</v>
      </c>
    </row>
    <row r="337" spans="17:46">
      <c r="Q337" s="99" t="s">
        <v>5076</v>
      </c>
      <c r="R337" s="95">
        <v>400000</v>
      </c>
      <c r="T337" s="19" t="s">
        <v>5479</v>
      </c>
      <c r="U337" s="19">
        <v>-35361</v>
      </c>
      <c r="V337" s="117">
        <v>818.697</v>
      </c>
      <c r="W337" s="117">
        <f t="shared" si="86"/>
        <v>-28949944.616999999</v>
      </c>
      <c r="X337" s="280" t="s">
        <v>5477</v>
      </c>
      <c r="AH337" s="20">
        <v>87</v>
      </c>
      <c r="AI337" s="20" t="s">
        <v>5101</v>
      </c>
      <c r="AJ337" s="117">
        <v>500000</v>
      </c>
      <c r="AK337" s="20">
        <v>3</v>
      </c>
      <c r="AL337" s="20">
        <f t="shared" si="98"/>
        <v>253</v>
      </c>
      <c r="AM337" s="20">
        <f t="shared" si="99"/>
        <v>126500000</v>
      </c>
      <c r="AN337" s="20"/>
      <c r="AS337" t="s">
        <v>25</v>
      </c>
    </row>
    <row r="338" spans="17:46">
      <c r="Q338" s="99" t="s">
        <v>5083</v>
      </c>
      <c r="R338" s="95">
        <v>120000</v>
      </c>
      <c r="T338" s="19" t="s">
        <v>5479</v>
      </c>
      <c r="U338" s="19">
        <v>116</v>
      </c>
      <c r="V338" s="117">
        <v>818.697</v>
      </c>
      <c r="W338" s="117">
        <f t="shared" si="86"/>
        <v>94968.851999999999</v>
      </c>
      <c r="X338" s="280" t="s">
        <v>5215</v>
      </c>
      <c r="AH338" s="20">
        <v>88</v>
      </c>
      <c r="AI338" s="20" t="s">
        <v>5088</v>
      </c>
      <c r="AJ338" s="117">
        <v>250000</v>
      </c>
      <c r="AK338" s="20">
        <v>0</v>
      </c>
      <c r="AL338" s="20">
        <f t="shared" si="98"/>
        <v>250</v>
      </c>
      <c r="AM338" s="20">
        <f t="shared" si="99"/>
        <v>62500000</v>
      </c>
      <c r="AN338" s="20"/>
      <c r="AR338" t="s">
        <v>25</v>
      </c>
      <c r="AT338" s="96" t="s">
        <v>25</v>
      </c>
    </row>
    <row r="339" spans="17:46">
      <c r="Q339" s="99" t="s">
        <v>5101</v>
      </c>
      <c r="R339" s="95">
        <v>500000</v>
      </c>
      <c r="T339" s="19" t="s">
        <v>5485</v>
      </c>
      <c r="U339" s="19">
        <v>48633</v>
      </c>
      <c r="V339" s="117">
        <v>822.47199999999998</v>
      </c>
      <c r="W339" s="117">
        <f t="shared" si="86"/>
        <v>39999280.776000001</v>
      </c>
      <c r="X339" s="280" t="s">
        <v>5489</v>
      </c>
      <c r="Z339" t="s">
        <v>25</v>
      </c>
      <c r="AH339" s="256">
        <v>89</v>
      </c>
      <c r="AI339" s="256" t="s">
        <v>5088</v>
      </c>
      <c r="AJ339" s="247">
        <v>245000</v>
      </c>
      <c r="AK339" s="256">
        <v>16</v>
      </c>
      <c r="AL339" s="256">
        <f t="shared" si="98"/>
        <v>250</v>
      </c>
      <c r="AM339" s="256">
        <f t="shared" si="99"/>
        <v>61250000</v>
      </c>
      <c r="AN339" s="256"/>
      <c r="AS339" t="s">
        <v>25</v>
      </c>
    </row>
    <row r="340" spans="17:46">
      <c r="Q340" s="99" t="s">
        <v>5088</v>
      </c>
      <c r="R340" s="95">
        <v>744000</v>
      </c>
      <c r="S340" s="114"/>
      <c r="T340" s="19" t="s">
        <v>5485</v>
      </c>
      <c r="U340" s="19">
        <v>3412</v>
      </c>
      <c r="V340" s="117">
        <v>822.47199999999998</v>
      </c>
      <c r="W340" s="117">
        <f t="shared" si="86"/>
        <v>2806274.4640000002</v>
      </c>
      <c r="X340" s="280" t="s">
        <v>5491</v>
      </c>
      <c r="AH340" s="20">
        <v>90</v>
      </c>
      <c r="AI340" s="20" t="s">
        <v>5127</v>
      </c>
      <c r="AJ340" s="117">
        <v>312598</v>
      </c>
      <c r="AK340" s="20">
        <v>0</v>
      </c>
      <c r="AL340" s="20">
        <f t="shared" si="98"/>
        <v>234</v>
      </c>
      <c r="AM340" s="20">
        <f t="shared" si="99"/>
        <v>73147932</v>
      </c>
      <c r="AN340" s="20"/>
    </row>
    <row r="341" spans="17:46">
      <c r="Q341" s="99" t="s">
        <v>5117</v>
      </c>
      <c r="R341" s="95">
        <v>65000</v>
      </c>
      <c r="T341" s="19" t="s">
        <v>5486</v>
      </c>
      <c r="U341" s="19">
        <v>1531</v>
      </c>
      <c r="V341" s="117">
        <v>869.82500000000005</v>
      </c>
      <c r="W341" s="117">
        <f t="shared" si="86"/>
        <v>1331702.075</v>
      </c>
      <c r="X341" s="280" t="s">
        <v>5493</v>
      </c>
      <c r="AH341" s="20">
        <v>91</v>
      </c>
      <c r="AI341" s="20" t="s">
        <v>5127</v>
      </c>
      <c r="AJ341" s="117">
        <v>780000</v>
      </c>
      <c r="AK341" s="20">
        <v>0</v>
      </c>
      <c r="AL341" s="20">
        <f t="shared" si="98"/>
        <v>234</v>
      </c>
      <c r="AM341" s="20">
        <f t="shared" si="99"/>
        <v>182520000</v>
      </c>
      <c r="AN341" s="20"/>
    </row>
    <row r="342" spans="17:46">
      <c r="Q342" s="99" t="s">
        <v>5123</v>
      </c>
      <c r="R342" s="95">
        <v>-14053702</v>
      </c>
      <c r="T342" s="172" t="s">
        <v>5496</v>
      </c>
      <c r="U342" s="172">
        <v>2394</v>
      </c>
      <c r="V342" s="170">
        <v>835.36580000000004</v>
      </c>
      <c r="W342" s="170">
        <f t="shared" si="86"/>
        <v>1999865.7252</v>
      </c>
      <c r="X342" s="290" t="s">
        <v>5498</v>
      </c>
      <c r="AA342" t="s">
        <v>25</v>
      </c>
      <c r="AH342" s="195">
        <v>92</v>
      </c>
      <c r="AI342" s="195" t="s">
        <v>5127</v>
      </c>
      <c r="AJ342" s="196">
        <v>-300000</v>
      </c>
      <c r="AK342" s="195">
        <v>1</v>
      </c>
      <c r="AL342" s="195">
        <f t="shared" si="98"/>
        <v>234</v>
      </c>
      <c r="AM342" s="195">
        <f t="shared" si="99"/>
        <v>-70200000</v>
      </c>
      <c r="AN342" s="195"/>
    </row>
    <row r="343" spans="17:46">
      <c r="Q343" s="99" t="s">
        <v>5089</v>
      </c>
      <c r="R343" s="95">
        <v>3555678</v>
      </c>
      <c r="T343" s="19" t="s">
        <v>5496</v>
      </c>
      <c r="U343" s="19">
        <v>1019</v>
      </c>
      <c r="V343" s="117">
        <v>835.36580000000004</v>
      </c>
      <c r="W343" s="117">
        <f t="shared" si="86"/>
        <v>851237.75020000001</v>
      </c>
      <c r="X343" s="280" t="s">
        <v>452</v>
      </c>
      <c r="AH343" s="20">
        <v>93</v>
      </c>
      <c r="AI343" s="20" t="s">
        <v>5089</v>
      </c>
      <c r="AJ343" s="117">
        <v>300000</v>
      </c>
      <c r="AK343" s="20">
        <v>0</v>
      </c>
      <c r="AL343" s="20">
        <f t="shared" si="98"/>
        <v>233</v>
      </c>
      <c r="AM343" s="20">
        <f t="shared" si="99"/>
        <v>69900000</v>
      </c>
      <c r="AN343" s="20"/>
    </row>
    <row r="344" spans="17:46">
      <c r="Q344" s="99" t="s">
        <v>5159</v>
      </c>
      <c r="R344" s="95">
        <v>3495</v>
      </c>
      <c r="T344" s="189" t="s">
        <v>5502</v>
      </c>
      <c r="U344" s="189">
        <v>2316</v>
      </c>
      <c r="V344" s="188">
        <v>818.697</v>
      </c>
      <c r="W344" s="188">
        <f t="shared" si="86"/>
        <v>1896102.2520000001</v>
      </c>
      <c r="X344" s="279" t="s">
        <v>5505</v>
      </c>
      <c r="AH344" s="20">
        <v>94</v>
      </c>
      <c r="AI344" s="20" t="s">
        <v>5089</v>
      </c>
      <c r="AJ344" s="117">
        <v>8660000</v>
      </c>
      <c r="AK344" s="20">
        <v>8</v>
      </c>
      <c r="AL344" s="20">
        <f t="shared" si="98"/>
        <v>233</v>
      </c>
      <c r="AM344" s="20">
        <f t="shared" si="99"/>
        <v>2017780000</v>
      </c>
      <c r="AN344" s="20"/>
    </row>
    <row r="345" spans="17:46">
      <c r="Q345" s="99" t="s">
        <v>5165</v>
      </c>
      <c r="R345" s="95">
        <v>6000000</v>
      </c>
      <c r="T345" s="19" t="s">
        <v>5511</v>
      </c>
      <c r="U345" s="19">
        <v>315</v>
      </c>
      <c r="V345" s="117">
        <v>680</v>
      </c>
      <c r="W345" s="117">
        <f t="shared" si="86"/>
        <v>214200</v>
      </c>
      <c r="X345" s="280" t="s">
        <v>5215</v>
      </c>
      <c r="AH345" s="149">
        <v>95</v>
      </c>
      <c r="AI345" s="149" t="s">
        <v>5144</v>
      </c>
      <c r="AJ345" s="188">
        <v>200000</v>
      </c>
      <c r="AK345" s="149">
        <v>3</v>
      </c>
      <c r="AL345" s="149">
        <f t="shared" si="98"/>
        <v>225</v>
      </c>
      <c r="AM345" s="149">
        <f t="shared" si="99"/>
        <v>45000000</v>
      </c>
      <c r="AN345" s="149"/>
    </row>
    <row r="346" spans="17:46">
      <c r="Q346" s="99" t="s">
        <v>5168</v>
      </c>
      <c r="R346" s="95">
        <v>17220</v>
      </c>
      <c r="T346" s="19" t="s">
        <v>5538</v>
      </c>
      <c r="U346" s="19">
        <v>832</v>
      </c>
      <c r="V346" s="117">
        <v>784.36500000000001</v>
      </c>
      <c r="W346" s="117">
        <f t="shared" si="86"/>
        <v>652591.68000000005</v>
      </c>
      <c r="X346" s="280" t="s">
        <v>5215</v>
      </c>
      <c r="AA346" t="s">
        <v>25</v>
      </c>
      <c r="AH346" s="149">
        <v>96</v>
      </c>
      <c r="AI346" s="149" t="s">
        <v>5147</v>
      </c>
      <c r="AJ346" s="188">
        <v>20000</v>
      </c>
      <c r="AK346" s="149">
        <v>1</v>
      </c>
      <c r="AL346" s="149">
        <f t="shared" si="98"/>
        <v>222</v>
      </c>
      <c r="AM346" s="149">
        <f t="shared" si="99"/>
        <v>4440000</v>
      </c>
      <c r="AN346" s="149"/>
    </row>
    <row r="347" spans="17:46">
      <c r="Q347" s="99" t="s">
        <v>5169</v>
      </c>
      <c r="R347" s="95">
        <v>8249</v>
      </c>
      <c r="T347" s="99"/>
      <c r="U347" s="168"/>
      <c r="V347" s="113"/>
      <c r="W347" s="113"/>
      <c r="X347" s="99"/>
      <c r="Y347" t="s">
        <v>25</v>
      </c>
      <c r="AH347" s="20">
        <v>97</v>
      </c>
      <c r="AI347" s="20" t="s">
        <v>5157</v>
      </c>
      <c r="AJ347" s="117">
        <v>14340000</v>
      </c>
      <c r="AK347" s="20">
        <v>7</v>
      </c>
      <c r="AL347" s="20">
        <f t="shared" si="98"/>
        <v>221</v>
      </c>
      <c r="AM347" s="20">
        <f t="shared" si="99"/>
        <v>3169140000</v>
      </c>
      <c r="AN347" s="20"/>
    </row>
    <row r="348" spans="17:46">
      <c r="Q348" s="99" t="s">
        <v>5171</v>
      </c>
      <c r="R348" s="95">
        <v>6937</v>
      </c>
      <c r="T348" s="168"/>
      <c r="U348" s="168">
        <f>SUM(U178:U347)</f>
        <v>3531519</v>
      </c>
      <c r="V348" s="99"/>
      <c r="W348" s="99"/>
      <c r="X348" s="99"/>
      <c r="AH348" s="20">
        <v>98</v>
      </c>
      <c r="AI348" s="20" t="s">
        <v>5165</v>
      </c>
      <c r="AJ348" s="117">
        <v>10000000</v>
      </c>
      <c r="AK348" s="20">
        <v>6</v>
      </c>
      <c r="AL348" s="20">
        <f t="shared" si="98"/>
        <v>214</v>
      </c>
      <c r="AM348" s="20">
        <f t="shared" si="99"/>
        <v>2140000000</v>
      </c>
      <c r="AN348" s="20" t="s">
        <v>4731</v>
      </c>
    </row>
    <row r="349" spans="17:46">
      <c r="Q349" s="99" t="s">
        <v>5171</v>
      </c>
      <c r="R349" s="95">
        <v>4046552</v>
      </c>
      <c r="S349" t="s">
        <v>25</v>
      </c>
      <c r="T349" s="99"/>
      <c r="U349" s="99" t="s">
        <v>6</v>
      </c>
      <c r="V349" s="99"/>
      <c r="W349" s="99"/>
      <c r="X349" s="99"/>
      <c r="AH349" s="20">
        <v>99</v>
      </c>
      <c r="AI349" s="20" t="s">
        <v>5171</v>
      </c>
      <c r="AJ349" s="117">
        <v>4033949</v>
      </c>
      <c r="AK349" s="20">
        <v>2</v>
      </c>
      <c r="AL349" s="20">
        <f t="shared" si="98"/>
        <v>208</v>
      </c>
      <c r="AM349" s="20">
        <f t="shared" si="99"/>
        <v>839061392</v>
      </c>
      <c r="AN349" s="20" t="s">
        <v>5173</v>
      </c>
    </row>
    <row r="350" spans="17:46">
      <c r="Q350" s="99" t="s">
        <v>5174</v>
      </c>
      <c r="R350" s="95">
        <v>-3884943</v>
      </c>
      <c r="T350" s="200" t="s">
        <v>4471</v>
      </c>
      <c r="AH350" s="149">
        <v>100</v>
      </c>
      <c r="AI350" s="149" t="s">
        <v>5177</v>
      </c>
      <c r="AJ350" s="188">
        <v>11500000</v>
      </c>
      <c r="AK350" s="149">
        <v>2</v>
      </c>
      <c r="AL350" s="149">
        <f t="shared" si="98"/>
        <v>206</v>
      </c>
      <c r="AM350" s="149">
        <f t="shared" si="99"/>
        <v>2369000000</v>
      </c>
      <c r="AN350" s="149" t="s">
        <v>5179</v>
      </c>
    </row>
    <row r="351" spans="17:46">
      <c r="Q351" s="99" t="s">
        <v>5183</v>
      </c>
      <c r="R351" s="95">
        <v>6022</v>
      </c>
      <c r="T351" s="199">
        <f>R191/U348</f>
        <v>1617.2235778253605</v>
      </c>
      <c r="AH351" s="149">
        <v>101</v>
      </c>
      <c r="AI351" s="149" t="s">
        <v>5183</v>
      </c>
      <c r="AJ351" s="188">
        <v>250000</v>
      </c>
      <c r="AK351" s="149">
        <v>3</v>
      </c>
      <c r="AL351" s="149">
        <f t="shared" si="98"/>
        <v>204</v>
      </c>
      <c r="AM351" s="149">
        <f t="shared" si="99"/>
        <v>51000000</v>
      </c>
      <c r="AN351" s="149"/>
    </row>
    <row r="352" spans="17:46">
      <c r="Q352" s="99" t="s">
        <v>5210</v>
      </c>
      <c r="R352" s="95">
        <v>400000</v>
      </c>
      <c r="W352" s="114"/>
      <c r="AH352" s="149">
        <v>102</v>
      </c>
      <c r="AI352" s="149" t="s">
        <v>5208</v>
      </c>
      <c r="AJ352" s="188">
        <v>6000000</v>
      </c>
      <c r="AK352" s="149">
        <v>1</v>
      </c>
      <c r="AL352" s="149">
        <f t="shared" si="98"/>
        <v>201</v>
      </c>
      <c r="AM352" s="149">
        <f t="shared" si="99"/>
        <v>1206000000</v>
      </c>
      <c r="AN352" s="149" t="s">
        <v>5179</v>
      </c>
    </row>
    <row r="353" spans="17:45">
      <c r="Q353" s="99" t="s">
        <v>5214</v>
      </c>
      <c r="R353" s="95">
        <v>92847</v>
      </c>
      <c r="U353" s="96" t="s">
        <v>267</v>
      </c>
      <c r="V353" t="s">
        <v>4472</v>
      </c>
      <c r="X353">
        <v>137360</v>
      </c>
      <c r="AH353" s="149">
        <v>103</v>
      </c>
      <c r="AI353" s="149" t="s">
        <v>5210</v>
      </c>
      <c r="AJ353" s="188">
        <v>1500000</v>
      </c>
      <c r="AK353" s="149">
        <v>6</v>
      </c>
      <c r="AL353" s="149">
        <f t="shared" si="98"/>
        <v>200</v>
      </c>
      <c r="AM353" s="149">
        <f t="shared" si="99"/>
        <v>300000000</v>
      </c>
      <c r="AN353" s="149" t="s">
        <v>5179</v>
      </c>
    </row>
    <row r="354" spans="17:45">
      <c r="Q354" s="99" t="s">
        <v>5214</v>
      </c>
      <c r="R354" s="95">
        <v>-100000</v>
      </c>
      <c r="T354" s="114"/>
      <c r="U354" s="113">
        <v>652806</v>
      </c>
      <c r="V354">
        <f>U354/T351</f>
        <v>403.65847304663441</v>
      </c>
      <c r="X354">
        <v>102146</v>
      </c>
      <c r="AH354" s="20">
        <v>104</v>
      </c>
      <c r="AI354" s="20" t="s">
        <v>972</v>
      </c>
      <c r="AJ354" s="117">
        <v>-3960043</v>
      </c>
      <c r="AK354" s="20">
        <v>2</v>
      </c>
      <c r="AL354" s="20">
        <f t="shared" si="98"/>
        <v>194</v>
      </c>
      <c r="AM354" s="20">
        <f t="shared" si="99"/>
        <v>-768248342</v>
      </c>
      <c r="AN354" s="20"/>
    </row>
    <row r="355" spans="17:45">
      <c r="Q355" s="99" t="s">
        <v>5218</v>
      </c>
      <c r="R355" s="95">
        <v>10000000</v>
      </c>
      <c r="X355">
        <f>X353+X354</f>
        <v>239506</v>
      </c>
      <c r="AH355" s="20">
        <v>105</v>
      </c>
      <c r="AI355" s="20" t="s">
        <v>5229</v>
      </c>
      <c r="AJ355" s="117">
        <v>230000</v>
      </c>
      <c r="AK355" s="20">
        <v>0</v>
      </c>
      <c r="AL355" s="20">
        <f t="shared" si="98"/>
        <v>192</v>
      </c>
      <c r="AM355" s="20">
        <f t="shared" si="99"/>
        <v>44160000</v>
      </c>
      <c r="AN355" s="20"/>
    </row>
    <row r="356" spans="17:45" ht="30">
      <c r="Q356" s="99" t="s">
        <v>5223</v>
      </c>
      <c r="R356" s="95">
        <v>-400000</v>
      </c>
      <c r="V356" s="22" t="s">
        <v>5237</v>
      </c>
      <c r="W356" s="223"/>
      <c r="X356" s="96">
        <f>X355/2</f>
        <v>119753</v>
      </c>
      <c r="Y356" t="s">
        <v>25</v>
      </c>
      <c r="AH356" s="149">
        <v>106</v>
      </c>
      <c r="AI356" s="149" t="s">
        <v>5229</v>
      </c>
      <c r="AJ356" s="188">
        <v>230000</v>
      </c>
      <c r="AK356" s="149">
        <v>1</v>
      </c>
      <c r="AL356" s="149">
        <f t="shared" ref="AL356:AL360" si="100">AK356+AL357</f>
        <v>192</v>
      </c>
      <c r="AM356" s="149">
        <f t="shared" ref="AM356:AM360" si="101">AJ356*AL356</f>
        <v>44160000</v>
      </c>
      <c r="AN356" s="149"/>
    </row>
    <row r="357" spans="17:45">
      <c r="Q357" s="99" t="s">
        <v>5227</v>
      </c>
      <c r="R357" s="95">
        <v>5649</v>
      </c>
      <c r="W357" s="96" t="s">
        <v>25</v>
      </c>
      <c r="X357">
        <f>X353-X356</f>
        <v>17607</v>
      </c>
      <c r="Y357" t="s">
        <v>25</v>
      </c>
      <c r="AH357" s="149">
        <v>107</v>
      </c>
      <c r="AI357" s="149" t="s">
        <v>5230</v>
      </c>
      <c r="AJ357" s="188">
        <v>500000</v>
      </c>
      <c r="AK357" s="149">
        <v>1</v>
      </c>
      <c r="AL357" s="149">
        <f t="shared" si="100"/>
        <v>191</v>
      </c>
      <c r="AM357" s="149">
        <f t="shared" si="101"/>
        <v>95500000</v>
      </c>
      <c r="AN357" s="149"/>
    </row>
    <row r="358" spans="17:45">
      <c r="Q358" s="99" t="s">
        <v>5229</v>
      </c>
      <c r="R358" s="95">
        <v>460000</v>
      </c>
      <c r="X358">
        <f>X354-X356</f>
        <v>-17607</v>
      </c>
      <c r="AH358" s="20">
        <v>108</v>
      </c>
      <c r="AI358" s="20" t="s">
        <v>5233</v>
      </c>
      <c r="AJ358" s="117">
        <v>-880000</v>
      </c>
      <c r="AK358" s="20">
        <v>4</v>
      </c>
      <c r="AL358" s="20">
        <f t="shared" si="100"/>
        <v>190</v>
      </c>
      <c r="AM358" s="20">
        <f t="shared" si="101"/>
        <v>-167200000</v>
      </c>
      <c r="AN358" s="20"/>
      <c r="AS358" t="s">
        <v>25</v>
      </c>
    </row>
    <row r="359" spans="17:45" ht="60">
      <c r="Q359" s="99" t="s">
        <v>5230</v>
      </c>
      <c r="R359" s="95">
        <v>1300000</v>
      </c>
      <c r="T359" s="22" t="s">
        <v>4455</v>
      </c>
      <c r="V359" s="223" t="s">
        <v>25</v>
      </c>
      <c r="X359">
        <f>110+81.8</f>
        <v>191.8</v>
      </c>
      <c r="Y359" t="s">
        <v>25</v>
      </c>
      <c r="AH359" s="195">
        <v>109</v>
      </c>
      <c r="AI359" s="195" t="s">
        <v>5238</v>
      </c>
      <c r="AJ359" s="196">
        <v>873000</v>
      </c>
      <c r="AK359" s="195">
        <v>0</v>
      </c>
      <c r="AL359" s="195">
        <f t="shared" si="100"/>
        <v>186</v>
      </c>
      <c r="AM359" s="195">
        <f t="shared" si="101"/>
        <v>162378000</v>
      </c>
      <c r="AN359" s="195" t="s">
        <v>5179</v>
      </c>
    </row>
    <row r="360" spans="17:45" ht="45">
      <c r="Q360" s="99" t="s">
        <v>5230</v>
      </c>
      <c r="R360" s="95">
        <v>7300000</v>
      </c>
      <c r="T360" s="22" t="s">
        <v>4456</v>
      </c>
      <c r="X360">
        <f>X359/2</f>
        <v>95.9</v>
      </c>
      <c r="Y360" t="s">
        <v>25</v>
      </c>
      <c r="AH360" s="20">
        <v>110</v>
      </c>
      <c r="AI360" s="20" t="s">
        <v>5238</v>
      </c>
      <c r="AJ360" s="117">
        <v>127000</v>
      </c>
      <c r="AK360" s="20">
        <v>0</v>
      </c>
      <c r="AL360" s="20">
        <f t="shared" si="100"/>
        <v>186</v>
      </c>
      <c r="AM360" s="20">
        <f t="shared" si="101"/>
        <v>23622000</v>
      </c>
      <c r="AN360" s="20" t="s">
        <v>5179</v>
      </c>
    </row>
    <row r="361" spans="17:45">
      <c r="Q361" s="99" t="s">
        <v>989</v>
      </c>
      <c r="R361" s="95">
        <v>21203</v>
      </c>
      <c r="Y361" t="s">
        <v>25</v>
      </c>
      <c r="AH361" s="20">
        <v>111</v>
      </c>
      <c r="AI361" s="20" t="s">
        <v>5238</v>
      </c>
      <c r="AJ361" s="117">
        <v>73000</v>
      </c>
      <c r="AK361" s="20">
        <v>1</v>
      </c>
      <c r="AL361" s="20">
        <f t="shared" ref="AL361:AL365" si="102">AK361+AL362</f>
        <v>186</v>
      </c>
      <c r="AM361" s="20">
        <f t="shared" ref="AM361:AM365" si="103">AJ361*AL361</f>
        <v>13578000</v>
      </c>
      <c r="AN361" s="20"/>
    </row>
    <row r="362" spans="17:45">
      <c r="Q362" s="99" t="s">
        <v>4271</v>
      </c>
      <c r="R362" s="95">
        <v>34550</v>
      </c>
      <c r="Y362" t="s">
        <v>25</v>
      </c>
      <c r="AH362" s="20">
        <v>112</v>
      </c>
      <c r="AI362" s="20" t="s">
        <v>989</v>
      </c>
      <c r="AJ362" s="117">
        <v>4300000</v>
      </c>
      <c r="AK362" s="20">
        <v>1</v>
      </c>
      <c r="AL362" s="20">
        <f t="shared" si="102"/>
        <v>185</v>
      </c>
      <c r="AM362" s="20">
        <f t="shared" si="103"/>
        <v>795500000</v>
      </c>
      <c r="AN362" s="20"/>
    </row>
    <row r="363" spans="17:45">
      <c r="Q363" s="99" t="s">
        <v>5228</v>
      </c>
      <c r="R363" s="95">
        <v>-2134406</v>
      </c>
      <c r="T363" s="99" t="s">
        <v>4473</v>
      </c>
      <c r="U363" s="99" t="s">
        <v>4445</v>
      </c>
      <c r="V363" s="99" t="s">
        <v>950</v>
      </c>
      <c r="W363" s="74"/>
      <c r="AH363" s="20">
        <v>113</v>
      </c>
      <c r="AI363" s="20" t="s">
        <v>5105</v>
      </c>
      <c r="AJ363" s="117">
        <v>1600000</v>
      </c>
      <c r="AK363" s="20">
        <v>0</v>
      </c>
      <c r="AL363" s="20">
        <f t="shared" si="102"/>
        <v>184</v>
      </c>
      <c r="AM363" s="20">
        <f t="shared" si="103"/>
        <v>294400000</v>
      </c>
      <c r="AN363" s="20"/>
    </row>
    <row r="364" spans="17:45">
      <c r="Q364" s="99" t="s">
        <v>5270</v>
      </c>
      <c r="R364" s="95">
        <v>-618906</v>
      </c>
      <c r="T364" s="95">
        <f>S231+R284+R380</f>
        <v>799880817</v>
      </c>
      <c r="U364" s="95">
        <f>R191</f>
        <v>5711255792.3382397</v>
      </c>
      <c r="V364" s="95">
        <f>U364-T364</f>
        <v>4911374975.3382397</v>
      </c>
      <c r="AH364" s="20">
        <v>114</v>
      </c>
      <c r="AI364" s="20" t="s">
        <v>4271</v>
      </c>
      <c r="AJ364" s="117">
        <v>-10000000</v>
      </c>
      <c r="AK364" s="20">
        <v>1</v>
      </c>
      <c r="AL364" s="20">
        <f t="shared" si="102"/>
        <v>184</v>
      </c>
      <c r="AM364" s="20">
        <f t="shared" si="103"/>
        <v>-1840000000</v>
      </c>
      <c r="AN364" s="20" t="s">
        <v>5245</v>
      </c>
    </row>
    <row r="365" spans="17:45">
      <c r="Q365" s="99" t="s">
        <v>5273</v>
      </c>
      <c r="R365" s="95">
        <v>-54615</v>
      </c>
      <c r="S365" t="s">
        <v>25</v>
      </c>
      <c r="Y365" t="s">
        <v>25</v>
      </c>
      <c r="AH365" s="20">
        <v>115</v>
      </c>
      <c r="AI365" s="20" t="s">
        <v>5244</v>
      </c>
      <c r="AJ365" s="117">
        <v>571000</v>
      </c>
      <c r="AK365" s="20">
        <v>4</v>
      </c>
      <c r="AL365" s="20">
        <f t="shared" si="102"/>
        <v>183</v>
      </c>
      <c r="AM365" s="20">
        <f t="shared" si="103"/>
        <v>104493000</v>
      </c>
      <c r="AN365" s="20"/>
    </row>
    <row r="366" spans="17:45">
      <c r="Q366" s="99" t="s">
        <v>5318</v>
      </c>
      <c r="R366" s="95">
        <v>18000000</v>
      </c>
      <c r="AH366" s="20">
        <v>116</v>
      </c>
      <c r="AI366" s="20" t="s">
        <v>5246</v>
      </c>
      <c r="AJ366" s="117">
        <v>200000</v>
      </c>
      <c r="AK366" s="20">
        <v>3</v>
      </c>
      <c r="AL366" s="20">
        <f t="shared" ref="AL366:AL377" si="104">AK366+AL367</f>
        <v>179</v>
      </c>
      <c r="AM366" s="20">
        <f t="shared" ref="AM366:AM377" si="105">AJ366*AL366</f>
        <v>35800000</v>
      </c>
      <c r="AN366" s="20"/>
    </row>
    <row r="367" spans="17:45">
      <c r="Q367" s="99" t="s">
        <v>5372</v>
      </c>
      <c r="R367" s="95">
        <v>20000000</v>
      </c>
      <c r="T367" s="117"/>
      <c r="V367" s="114">
        <f>(444000000+2500000)*2/3</f>
        <v>297666666.66666669</v>
      </c>
      <c r="AH367" s="149">
        <v>117</v>
      </c>
      <c r="AI367" s="149" t="s">
        <v>5253</v>
      </c>
      <c r="AJ367" s="188">
        <v>50000</v>
      </c>
      <c r="AK367" s="149">
        <v>7</v>
      </c>
      <c r="AL367" s="149">
        <f t="shared" si="104"/>
        <v>176</v>
      </c>
      <c r="AM367" s="149">
        <f t="shared" si="105"/>
        <v>8800000</v>
      </c>
      <c r="AN367" s="149"/>
    </row>
    <row r="368" spans="17:45">
      <c r="Q368" s="99" t="s">
        <v>5383</v>
      </c>
      <c r="R368" s="95">
        <v>27694196</v>
      </c>
      <c r="AH368" s="20">
        <v>118</v>
      </c>
      <c r="AI368" s="20" t="s">
        <v>5261</v>
      </c>
      <c r="AJ368" s="117">
        <v>-500000</v>
      </c>
      <c r="AK368" s="20">
        <v>12</v>
      </c>
      <c r="AL368" s="20">
        <f t="shared" si="104"/>
        <v>169</v>
      </c>
      <c r="AM368" s="20">
        <f t="shared" si="105"/>
        <v>-84500000</v>
      </c>
      <c r="AN368" s="20"/>
    </row>
    <row r="369" spans="17:45">
      <c r="Q369" s="99" t="s">
        <v>5464</v>
      </c>
      <c r="R369" s="95">
        <v>7211722</v>
      </c>
      <c r="T369" s="114">
        <f>W330+W331+W333+W334+W336+W337</f>
        <v>-301699041.74755996</v>
      </c>
      <c r="AH369" s="149">
        <v>119</v>
      </c>
      <c r="AI369" s="149" t="s">
        <v>988</v>
      </c>
      <c r="AJ369" s="188">
        <v>-50000</v>
      </c>
      <c r="AK369" s="149">
        <v>0</v>
      </c>
      <c r="AL369" s="149">
        <f t="shared" si="104"/>
        <v>157</v>
      </c>
      <c r="AM369" s="149">
        <f t="shared" si="105"/>
        <v>-7850000</v>
      </c>
      <c r="AN369" s="149"/>
    </row>
    <row r="370" spans="17:45">
      <c r="Q370" s="99" t="s">
        <v>5465</v>
      </c>
      <c r="R370" s="95">
        <v>8481864</v>
      </c>
      <c r="T370" t="s">
        <v>25</v>
      </c>
      <c r="AH370" s="20">
        <v>120</v>
      </c>
      <c r="AI370" s="20" t="s">
        <v>988</v>
      </c>
      <c r="AJ370" s="117">
        <v>-50000</v>
      </c>
      <c r="AK370" s="20">
        <v>28</v>
      </c>
      <c r="AL370" s="20">
        <f t="shared" si="104"/>
        <v>157</v>
      </c>
      <c r="AM370" s="20">
        <f t="shared" si="105"/>
        <v>-7850000</v>
      </c>
      <c r="AN370" s="20"/>
    </row>
    <row r="371" spans="17:45">
      <c r="Q371" s="99" t="s">
        <v>5473</v>
      </c>
      <c r="R371" s="95">
        <v>1558697</v>
      </c>
      <c r="T371" s="114">
        <f>V367+T369</f>
        <v>-4032375.0808932781</v>
      </c>
      <c r="AH371" s="20">
        <v>121</v>
      </c>
      <c r="AI371" s="20" t="s">
        <v>5307</v>
      </c>
      <c r="AJ371" s="117">
        <v>-3020625</v>
      </c>
      <c r="AK371" s="20">
        <v>18</v>
      </c>
      <c r="AL371" s="20">
        <f t="shared" si="104"/>
        <v>129</v>
      </c>
      <c r="AM371" s="20">
        <f t="shared" si="105"/>
        <v>-389660625</v>
      </c>
      <c r="AN371" s="20"/>
    </row>
    <row r="372" spans="17:45">
      <c r="Q372" s="99" t="s">
        <v>5478</v>
      </c>
      <c r="R372" s="95">
        <v>9042009</v>
      </c>
      <c r="T372" t="s">
        <v>25</v>
      </c>
      <c r="AH372" s="20">
        <v>122</v>
      </c>
      <c r="AI372" s="20" t="s">
        <v>5318</v>
      </c>
      <c r="AJ372" s="117">
        <v>18000000</v>
      </c>
      <c r="AK372" s="20">
        <v>19</v>
      </c>
      <c r="AL372" s="20">
        <f t="shared" si="104"/>
        <v>111</v>
      </c>
      <c r="AM372" s="20">
        <f t="shared" si="105"/>
        <v>1998000000</v>
      </c>
      <c r="AN372" s="20"/>
      <c r="AR372" t="s">
        <v>25</v>
      </c>
    </row>
    <row r="373" spans="17:45">
      <c r="Q373" s="99" t="s">
        <v>5479</v>
      </c>
      <c r="R373" s="95">
        <v>94969</v>
      </c>
      <c r="T373" t="s">
        <v>25</v>
      </c>
      <c r="AH373" s="20">
        <v>123</v>
      </c>
      <c r="AI373" s="20" t="s">
        <v>5347</v>
      </c>
      <c r="AJ373" s="117">
        <v>2000000</v>
      </c>
      <c r="AK373" s="20">
        <v>6</v>
      </c>
      <c r="AL373" s="20">
        <f t="shared" si="104"/>
        <v>92</v>
      </c>
      <c r="AM373" s="20">
        <f t="shared" si="105"/>
        <v>184000000</v>
      </c>
      <c r="AN373" s="20"/>
    </row>
    <row r="374" spans="17:45">
      <c r="Q374" s="99" t="s">
        <v>5485</v>
      </c>
      <c r="R374" s="95">
        <v>40000000</v>
      </c>
      <c r="AH374" s="149">
        <v>124</v>
      </c>
      <c r="AI374" s="149" t="s">
        <v>5360</v>
      </c>
      <c r="AJ374" s="188">
        <v>40000000</v>
      </c>
      <c r="AK374" s="149">
        <v>6</v>
      </c>
      <c r="AL374" s="149">
        <f t="shared" si="104"/>
        <v>86</v>
      </c>
      <c r="AM374" s="149">
        <f t="shared" si="105"/>
        <v>3440000000</v>
      </c>
      <c r="AN374" s="149"/>
      <c r="AS374" t="s">
        <v>25</v>
      </c>
    </row>
    <row r="375" spans="17:45">
      <c r="Q375" s="99" t="s">
        <v>5485</v>
      </c>
      <c r="R375" s="95">
        <v>2806274</v>
      </c>
      <c r="AH375" s="20">
        <v>125</v>
      </c>
      <c r="AI375" s="20" t="s">
        <v>5372</v>
      </c>
      <c r="AJ375" s="117">
        <v>200000</v>
      </c>
      <c r="AK375" s="20">
        <v>0</v>
      </c>
      <c r="AL375" s="20">
        <f t="shared" si="104"/>
        <v>80</v>
      </c>
      <c r="AM375" s="20">
        <f t="shared" si="105"/>
        <v>16000000</v>
      </c>
      <c r="AN375" s="20"/>
    </row>
    <row r="376" spans="17:45">
      <c r="Q376" s="99" t="s">
        <v>5486</v>
      </c>
      <c r="R376" s="95">
        <v>1331702</v>
      </c>
      <c r="T376" t="s">
        <v>25</v>
      </c>
      <c r="AH376" s="149">
        <v>126</v>
      </c>
      <c r="AI376" s="149" t="s">
        <v>5372</v>
      </c>
      <c r="AJ376" s="188">
        <v>200000</v>
      </c>
      <c r="AK376" s="149">
        <v>1</v>
      </c>
      <c r="AL376" s="149">
        <f t="shared" si="104"/>
        <v>80</v>
      </c>
      <c r="AM376" s="149">
        <f t="shared" si="105"/>
        <v>16000000</v>
      </c>
      <c r="AN376" s="149"/>
    </row>
    <row r="377" spans="17:45">
      <c r="Q377" s="99" t="s">
        <v>5496</v>
      </c>
      <c r="R377" s="95">
        <v>851238</v>
      </c>
      <c r="T377" t="s">
        <v>25</v>
      </c>
      <c r="Y377" t="s">
        <v>25</v>
      </c>
      <c r="AH377" s="20">
        <v>127</v>
      </c>
      <c r="AI377" s="20" t="s">
        <v>5377</v>
      </c>
      <c r="AJ377" s="117">
        <v>50000</v>
      </c>
      <c r="AK377" s="20">
        <v>4</v>
      </c>
      <c r="AL377" s="20">
        <f t="shared" si="104"/>
        <v>79</v>
      </c>
      <c r="AM377" s="20">
        <f t="shared" si="105"/>
        <v>3950000</v>
      </c>
      <c r="AN377" s="20"/>
      <c r="AR377" t="s">
        <v>25</v>
      </c>
    </row>
    <row r="378" spans="17:45">
      <c r="Q378" s="99" t="s">
        <v>5538</v>
      </c>
      <c r="R378" s="95">
        <v>652592</v>
      </c>
      <c r="W378" s="96" t="s">
        <v>25</v>
      </c>
      <c r="AH378" s="20">
        <v>128</v>
      </c>
      <c r="AI378" s="20" t="s">
        <v>5380</v>
      </c>
      <c r="AJ378" s="117">
        <v>100000</v>
      </c>
      <c r="AK378" s="20">
        <v>9</v>
      </c>
      <c r="AL378" s="20">
        <f t="shared" ref="AL378:AL382" si="106">AK378+AL379</f>
        <v>75</v>
      </c>
      <c r="AM378" s="20">
        <f t="shared" ref="AM378:AM382" si="107">AJ378*AL378</f>
        <v>7500000</v>
      </c>
      <c r="AN378" s="20"/>
    </row>
    <row r="379" spans="17:45">
      <c r="Q379" s="99"/>
      <c r="R379" s="95"/>
      <c r="T379" t="s">
        <v>25</v>
      </c>
      <c r="AH379" s="20">
        <v>129</v>
      </c>
      <c r="AI379" s="20" t="s">
        <v>5398</v>
      </c>
      <c r="AJ379" s="117">
        <v>-550000</v>
      </c>
      <c r="AK379" s="20">
        <v>5</v>
      </c>
      <c r="AL379" s="20">
        <f t="shared" si="106"/>
        <v>66</v>
      </c>
      <c r="AM379" s="20">
        <f t="shared" si="107"/>
        <v>-36300000</v>
      </c>
      <c r="AN379" s="20"/>
    </row>
    <row r="380" spans="17:45">
      <c r="Q380" s="99"/>
      <c r="R380" s="95">
        <f>SUM(R289:R379)</f>
        <v>536952249</v>
      </c>
      <c r="T380" t="s">
        <v>25</v>
      </c>
      <c r="AH380" s="20">
        <v>130</v>
      </c>
      <c r="AI380" s="20" t="s">
        <v>5404</v>
      </c>
      <c r="AJ380" s="117">
        <v>-29686490</v>
      </c>
      <c r="AK380" s="20">
        <v>1</v>
      </c>
      <c r="AL380" s="20">
        <f t="shared" si="106"/>
        <v>61</v>
      </c>
      <c r="AM380" s="20">
        <f t="shared" si="107"/>
        <v>-1810875890</v>
      </c>
      <c r="AN380" s="20"/>
    </row>
    <row r="381" spans="17:45">
      <c r="Q381" s="99"/>
      <c r="R381" s="99" t="s">
        <v>6</v>
      </c>
      <c r="T381" t="s">
        <v>25</v>
      </c>
      <c r="AH381" s="20">
        <v>131</v>
      </c>
      <c r="AI381" s="20" t="s">
        <v>5415</v>
      </c>
      <c r="AJ381" s="117">
        <v>-9000000</v>
      </c>
      <c r="AK381" s="20">
        <v>8</v>
      </c>
      <c r="AL381" s="20">
        <f t="shared" si="106"/>
        <v>60</v>
      </c>
      <c r="AM381" s="20">
        <f t="shared" si="107"/>
        <v>-540000000</v>
      </c>
      <c r="AN381" s="20"/>
      <c r="AP381" t="s">
        <v>25</v>
      </c>
    </row>
    <row r="382" spans="17:45">
      <c r="T382" t="s">
        <v>25</v>
      </c>
      <c r="U382" s="96" t="s">
        <v>25</v>
      </c>
      <c r="AH382" s="20">
        <v>132</v>
      </c>
      <c r="AI382" s="20" t="s">
        <v>5460</v>
      </c>
      <c r="AJ382" s="117">
        <v>810000</v>
      </c>
      <c r="AK382" s="20">
        <v>2</v>
      </c>
      <c r="AL382" s="20">
        <f t="shared" si="106"/>
        <v>52</v>
      </c>
      <c r="AM382" s="20">
        <f t="shared" si="107"/>
        <v>42120000</v>
      </c>
      <c r="AN382" s="20"/>
    </row>
    <row r="383" spans="17:45">
      <c r="T383" t="s">
        <v>25</v>
      </c>
      <c r="AH383" s="20">
        <v>133</v>
      </c>
      <c r="AI383" s="20" t="s">
        <v>5465</v>
      </c>
      <c r="AJ383" s="117">
        <v>-5000000</v>
      </c>
      <c r="AK383" s="20">
        <v>3</v>
      </c>
      <c r="AL383" s="20">
        <f t="shared" ref="AL383:AL396" si="108">AK383+AL384</f>
        <v>50</v>
      </c>
      <c r="AM383" s="20">
        <f t="shared" ref="AM383:AM396" si="109">AJ383*AL383</f>
        <v>-250000000</v>
      </c>
      <c r="AN383" s="20"/>
    </row>
    <row r="384" spans="17:45">
      <c r="Q384" t="s">
        <v>25</v>
      </c>
      <c r="T384" t="s">
        <v>25</v>
      </c>
      <c r="AH384" s="20">
        <v>134</v>
      </c>
      <c r="AI384" s="20" t="s">
        <v>5473</v>
      </c>
      <c r="AJ384" s="117">
        <v>-26000000</v>
      </c>
      <c r="AK384" s="20">
        <v>0</v>
      </c>
      <c r="AL384" s="20">
        <f t="shared" si="108"/>
        <v>47</v>
      </c>
      <c r="AM384" s="20">
        <f t="shared" si="109"/>
        <v>-1222000000</v>
      </c>
      <c r="AN384" s="20"/>
    </row>
    <row r="385" spans="18:45">
      <c r="T385" t="s">
        <v>25</v>
      </c>
      <c r="U385" s="96" t="s">
        <v>25</v>
      </c>
      <c r="V385" t="s">
        <v>25</v>
      </c>
      <c r="AH385" s="256">
        <v>135</v>
      </c>
      <c r="AI385" s="256" t="s">
        <v>5473</v>
      </c>
      <c r="AJ385" s="247">
        <v>-26000000</v>
      </c>
      <c r="AK385" s="256">
        <v>1</v>
      </c>
      <c r="AL385" s="256">
        <f t="shared" ref="AL385:AL388" si="110">AK385+AL386</f>
        <v>47</v>
      </c>
      <c r="AM385" s="256">
        <f t="shared" ref="AM385:AM388" si="111">AJ385*AL385</f>
        <v>-1222000000</v>
      </c>
      <c r="AN385" s="256"/>
    </row>
    <row r="386" spans="18:45">
      <c r="T386" t="s">
        <v>25</v>
      </c>
      <c r="AH386" s="20">
        <v>136</v>
      </c>
      <c r="AI386" s="20" t="s">
        <v>5478</v>
      </c>
      <c r="AJ386" s="117">
        <v>-81800000</v>
      </c>
      <c r="AK386" s="20">
        <v>0</v>
      </c>
      <c r="AL386" s="20">
        <f t="shared" si="110"/>
        <v>46</v>
      </c>
      <c r="AM386" s="20">
        <f t="shared" si="111"/>
        <v>-3762800000</v>
      </c>
      <c r="AN386" s="20"/>
    </row>
    <row r="387" spans="18:45">
      <c r="R387" t="s">
        <v>25</v>
      </c>
      <c r="AF387" s="96" t="s">
        <v>25</v>
      </c>
      <c r="AH387" s="256">
        <v>137</v>
      </c>
      <c r="AI387" s="256" t="s">
        <v>5478</v>
      </c>
      <c r="AJ387" s="247">
        <v>-110000000</v>
      </c>
      <c r="AK387" s="256">
        <v>1</v>
      </c>
      <c r="AL387" s="256">
        <f t="shared" si="110"/>
        <v>46</v>
      </c>
      <c r="AM387" s="256">
        <f t="shared" si="111"/>
        <v>-5060000000</v>
      </c>
      <c r="AN387" s="256"/>
    </row>
    <row r="388" spans="18:45">
      <c r="T388" t="s">
        <v>25</v>
      </c>
      <c r="AH388" s="20">
        <v>138</v>
      </c>
      <c r="AI388" s="20" t="s">
        <v>5479</v>
      </c>
      <c r="AJ388" s="117">
        <v>-34000000</v>
      </c>
      <c r="AK388" s="20">
        <v>0</v>
      </c>
      <c r="AL388" s="20">
        <f t="shared" si="110"/>
        <v>45</v>
      </c>
      <c r="AM388" s="20">
        <f t="shared" si="111"/>
        <v>-1530000000</v>
      </c>
      <c r="AN388" s="20"/>
      <c r="AS388" t="s">
        <v>25</v>
      </c>
    </row>
    <row r="389" spans="18:45">
      <c r="R389" t="s">
        <v>25</v>
      </c>
      <c r="T389" t="s">
        <v>25</v>
      </c>
      <c r="U389" s="96" t="s">
        <v>25</v>
      </c>
      <c r="AH389" s="149">
        <v>139</v>
      </c>
      <c r="AI389" s="149" t="s">
        <v>5479</v>
      </c>
      <c r="AJ389" s="188">
        <v>-23900000</v>
      </c>
      <c r="AK389" s="149">
        <v>5</v>
      </c>
      <c r="AL389" s="149">
        <f t="shared" ref="AL389:AL395" si="112">AK389+AL390</f>
        <v>45</v>
      </c>
      <c r="AM389" s="149">
        <f t="shared" ref="AM389:AM395" si="113">AJ389*AL389</f>
        <v>-1075500000</v>
      </c>
      <c r="AN389" s="149"/>
    </row>
    <row r="390" spans="18:45">
      <c r="AH390" s="20">
        <v>140</v>
      </c>
      <c r="AI390" s="20" t="s">
        <v>5496</v>
      </c>
      <c r="AJ390" s="117">
        <v>1000000</v>
      </c>
      <c r="AK390" s="20">
        <v>0</v>
      </c>
      <c r="AL390" s="20">
        <f t="shared" si="112"/>
        <v>40</v>
      </c>
      <c r="AM390" s="20">
        <f t="shared" si="113"/>
        <v>40000000</v>
      </c>
      <c r="AN390" s="20"/>
    </row>
    <row r="391" spans="18:45">
      <c r="U391" s="96" t="s">
        <v>25</v>
      </c>
      <c r="AH391" s="149">
        <v>141</v>
      </c>
      <c r="AI391" s="149" t="s">
        <v>5496</v>
      </c>
      <c r="AJ391" s="188">
        <v>1000000</v>
      </c>
      <c r="AK391" s="149">
        <v>4</v>
      </c>
      <c r="AL391" s="149">
        <f t="shared" si="112"/>
        <v>40</v>
      </c>
      <c r="AM391" s="149">
        <f t="shared" si="113"/>
        <v>40000000</v>
      </c>
      <c r="AN391" s="149"/>
    </row>
    <row r="392" spans="18:45">
      <c r="AH392" s="20">
        <v>142</v>
      </c>
      <c r="AI392" s="20" t="s">
        <v>5502</v>
      </c>
      <c r="AJ392" s="117">
        <v>400000</v>
      </c>
      <c r="AK392" s="20">
        <v>0</v>
      </c>
      <c r="AL392" s="20">
        <f t="shared" si="112"/>
        <v>36</v>
      </c>
      <c r="AM392" s="20">
        <f t="shared" si="113"/>
        <v>14400000</v>
      </c>
      <c r="AN392" s="20"/>
    </row>
    <row r="393" spans="18:45">
      <c r="AH393" s="149">
        <v>143</v>
      </c>
      <c r="AI393" s="149" t="s">
        <v>5502</v>
      </c>
      <c r="AJ393" s="188">
        <v>400000</v>
      </c>
      <c r="AK393" s="149">
        <v>35</v>
      </c>
      <c r="AL393" s="149">
        <f t="shared" si="112"/>
        <v>36</v>
      </c>
      <c r="AM393" s="149">
        <f t="shared" si="113"/>
        <v>14400000</v>
      </c>
      <c r="AN393" s="149"/>
    </row>
    <row r="394" spans="18:45">
      <c r="AH394" s="20">
        <v>144</v>
      </c>
      <c r="AI394" s="20" t="s">
        <v>5552</v>
      </c>
      <c r="AJ394" s="117">
        <v>3000000</v>
      </c>
      <c r="AK394" s="20">
        <v>0</v>
      </c>
      <c r="AL394" s="20">
        <f t="shared" si="112"/>
        <v>1</v>
      </c>
      <c r="AM394" s="20">
        <f t="shared" si="113"/>
        <v>3000000</v>
      </c>
      <c r="AN394" s="20"/>
    </row>
    <row r="395" spans="18:45">
      <c r="AH395" s="149">
        <v>145</v>
      </c>
      <c r="AI395" s="149" t="s">
        <v>5552</v>
      </c>
      <c r="AJ395" s="188">
        <v>2725000</v>
      </c>
      <c r="AK395" s="149">
        <v>1</v>
      </c>
      <c r="AL395" s="149">
        <f t="shared" si="112"/>
        <v>1</v>
      </c>
      <c r="AM395" s="149">
        <f t="shared" si="113"/>
        <v>2725000</v>
      </c>
      <c r="AN395" s="149"/>
    </row>
    <row r="396" spans="18:45">
      <c r="AH396" s="99"/>
      <c r="AI396" s="99"/>
      <c r="AJ396" s="117"/>
      <c r="AK396" s="99"/>
      <c r="AL396" s="20">
        <f t="shared" si="108"/>
        <v>0</v>
      </c>
      <c r="AM396" s="20">
        <f t="shared" si="109"/>
        <v>0</v>
      </c>
      <c r="AN396" s="20"/>
    </row>
    <row r="397" spans="18:45">
      <c r="AH397" s="99"/>
      <c r="AI397" s="99"/>
      <c r="AJ397" s="117"/>
      <c r="AK397" s="99"/>
      <c r="AL397" s="20">
        <f t="shared" si="98"/>
        <v>0</v>
      </c>
      <c r="AM397" s="20">
        <f t="shared" si="99"/>
        <v>0</v>
      </c>
      <c r="AN397" s="99"/>
    </row>
    <row r="398" spans="18:45">
      <c r="AH398" s="99"/>
      <c r="AI398" s="99"/>
      <c r="AJ398" s="95">
        <f>SUM(AJ251:AJ397)</f>
        <v>173015737</v>
      </c>
      <c r="AK398" s="99"/>
      <c r="AL398" s="99"/>
      <c r="AM398" s="99">
        <f>SUM(AM251:AM397)</f>
        <v>162088259128</v>
      </c>
      <c r="AN398" s="95">
        <f>AM398*AN237/31</f>
        <v>87145968.222141176</v>
      </c>
    </row>
    <row r="399" spans="18:45">
      <c r="AJ399" t="s">
        <v>4055</v>
      </c>
      <c r="AM399" t="s">
        <v>284</v>
      </c>
      <c r="AN399" t="s">
        <v>940</v>
      </c>
    </row>
    <row r="401" spans="35:40">
      <c r="AI401" t="s">
        <v>4057</v>
      </c>
      <c r="AJ401" s="114">
        <f>AJ398+AN398</f>
        <v>260161705.22214118</v>
      </c>
    </row>
    <row r="402" spans="35:40">
      <c r="AI402" t="s">
        <v>4060</v>
      </c>
      <c r="AJ402" s="114">
        <f>SUM(N20:N29)</f>
        <v>2018004402.6000001</v>
      </c>
    </row>
    <row r="403" spans="35:40">
      <c r="AI403" t="s">
        <v>4132</v>
      </c>
      <c r="AJ403" s="114">
        <f>AJ402-AJ398</f>
        <v>1844988665.6000001</v>
      </c>
    </row>
    <row r="404" spans="35:40">
      <c r="AI404" t="s">
        <v>940</v>
      </c>
      <c r="AJ404" s="114">
        <f>AN398</f>
        <v>87145968.222141176</v>
      </c>
    </row>
    <row r="405" spans="35:40">
      <c r="AI405" t="s">
        <v>4061</v>
      </c>
      <c r="AJ405" s="114">
        <f>AJ403-AJ404</f>
        <v>1757842697.3778589</v>
      </c>
      <c r="AM405" t="s">
        <v>25</v>
      </c>
      <c r="AN405" t="s">
        <v>25</v>
      </c>
    </row>
    <row r="406" spans="35:40">
      <c r="AL406" t="s">
        <v>25</v>
      </c>
      <c r="AM406" t="s">
        <v>25</v>
      </c>
      <c r="AN406" t="s">
        <v>25</v>
      </c>
    </row>
    <row r="409" spans="35:40">
      <c r="AN409" t="s">
        <v>25</v>
      </c>
    </row>
    <row r="410" spans="35:40">
      <c r="AN41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4:G117 G119 G125:G126 G128:G132 G157:G171 G134:G137 G141:G155 G179:G1048576 G99:G108">
    <cfRule type="cellIs" dxfId="9" priority="13" operator="lessThan">
      <formula>0</formula>
    </cfRule>
  </conditionalFormatting>
  <conditionalFormatting sqref="G109">
    <cfRule type="cellIs" dxfId="8" priority="4" operator="lessThan">
      <formula>0</formula>
    </cfRule>
  </conditionalFormatting>
  <conditionalFormatting sqref="G110 G112">
    <cfRule type="cellIs" dxfId="7" priority="5" operator="lessThan">
      <formula>0</formula>
    </cfRule>
  </conditionalFormatting>
  <conditionalFormatting sqref="G113">
    <cfRule type="cellIs" dxfId="6" priority="2" operator="lessThan">
      <formula>0</formula>
    </cfRule>
  </conditionalFormatting>
  <conditionalFormatting sqref="G111">
    <cfRule type="cellIs" dxfId="5" priority="3" operator="lessThan">
      <formula>0</formula>
    </cfRule>
  </conditionalFormatting>
  <conditionalFormatting sqref="G138">
    <cfRule type="cellIs" dxfId="4" priority="1" operator="lessThan">
      <formula>0</formula>
    </cfRule>
  </conditionalFormatting>
  <pageMargins left="0.7" right="0.7" top="0.75" bottom="0.75" header="0.3" footer="0.3"/>
  <pageSetup orientation="portrait" r:id="rId1"/>
  <ignoredErrors>
    <ignoredError sqref="N10" formulaRange="1"/>
    <ignoredError sqref="S22 S102 G120 S113 S70 S119 S121 P27:P28 S130 P22 S140 S142:S145 S44 S49 S149" formula="1"/>
    <ignoredError sqref="N107 N11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2020-05-03T09:47:06Z</dcterms:modified>
</cp:coreProperties>
</file>